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پروژه ها\آرياداد\پروژه ها\بيتكاو\مدل كسب و كار\سرمايه گذار\"/>
    </mc:Choice>
  </mc:AlternateContent>
  <xr:revisionPtr revIDLastSave="0" documentId="13_ncr:1_{C5B5F9EE-BDDB-473F-A1A8-08B437F271A7}" xr6:coauthVersionLast="47" xr6:coauthVersionMax="47" xr10:uidLastSave="{00000000-0000-0000-0000-000000000000}"/>
  <bookViews>
    <workbookView xWindow="-103" yWindow="-103" windowWidth="23657" windowHeight="15240" tabRatio="893" firstSheet="1" activeTab="7" xr2:uid="{00000000-000D-0000-FFFF-FFFF00000000}"/>
  </bookViews>
  <sheets>
    <sheet name="داده‌های ورودی" sheetId="114" state="hidden" r:id="rId1"/>
    <sheet name="انتخاب سناریو و وضعيت بازار" sheetId="117" r:id="rId2"/>
    <sheet name="داده هاي اقتصاد كلان" sheetId="48" state="hidden" r:id="rId3"/>
    <sheet name="برآوردهاي پايه" sheetId="127" state="hidden" r:id="rId4"/>
    <sheet name="تحلیل نقطه سر به سر" sheetId="104" state="hidden" r:id="rId5"/>
    <sheet name=" جریان خالص نقدی" sheetId="105" state="hidden" r:id="rId6"/>
    <sheet name="صورت سود و زیان" sheetId="103" state="hidden" r:id="rId7"/>
    <sheet name="خلاصه وضعيت پروژه" sheetId="109" r:id="rId8"/>
    <sheet name="سرمایه ثابت" sheetId="81" r:id="rId9"/>
    <sheet name="سرمایه درگردش" sheetId="92" state="hidden" r:id="rId10"/>
    <sheet name="برآورد محصول" sheetId="111" r:id="rId11"/>
    <sheet name="درآمدها" sheetId="82" r:id="rId12"/>
    <sheet name="هزینه‌های تولید" sheetId="89" r:id="rId13"/>
    <sheet name="گاز و يوتيليتي" sheetId="100" state="hidden" r:id="rId14"/>
    <sheet name="مواد مصرفی" sheetId="74" state="hidden" r:id="rId15"/>
    <sheet name="تعميرات" sheetId="79" state="hidden" r:id="rId16"/>
    <sheet name="نیروی انسانی" sheetId="102" state="hidden" r:id="rId17"/>
    <sheet name="بیمه" sheetId="85" state="hidden" r:id="rId18"/>
    <sheet name="حمل و نقل" sheetId="112" state="hidden" r:id="rId19"/>
    <sheet name="زمين و ساختمان" sheetId="118" state="hidden" r:id="rId20"/>
    <sheet name=" زيرساخت اداري" sheetId="110" state="hidden" r:id="rId21"/>
    <sheet name="ارزش قراضه" sheetId="23" state="hidden" r:id="rId22"/>
    <sheet name="استهلاك" sheetId="36" state="hidden" r:id="rId23"/>
    <sheet name="تامین مالی" sheetId="116" state="hidden" r:id="rId24"/>
    <sheet name="بازاریابی و فروش" sheetId="78" state="hidden" r:id="rId25"/>
    <sheet name="جريمه ديركرد" sheetId="128" state="hidden" r:id="rId26"/>
    <sheet name="تبديل واحد و اعداد ثابت" sheetId="108" state="hidden" r:id="rId27"/>
    <sheet name="پيش بيني هش ريت" sheetId="123" state="hidden" r:id="rId28"/>
    <sheet name="پیش بینی قیمت" sheetId="126" state="hidden" r:id="rId29"/>
  </sheets>
  <externalReferences>
    <externalReference r:id="rId30"/>
  </externalReferences>
  <definedNames>
    <definedName name="ExternalData_1" localSheetId="27" hidden="1">'پيش بيني هش ريت'!#REF!</definedName>
    <definedName name="ExternalData_1" localSheetId="28" hidden="1">'پیش بینی قیمت'!$A$1:$C$5765</definedName>
    <definedName name="دلار" comment="تبدیل ریال به دلار">'داده هاي اقتصاد كلان'!$D$7</definedName>
    <definedName name="روزانه" comment="تبدیل ساعت به روز">'تبديل واحد و اعداد ثابت'!$D$10</definedName>
    <definedName name="ریال" comment="تبدیل دلار به ریال">'داده هاي اقتصاد كلان'!$D$5</definedName>
    <definedName name="سالانه" comment="تبدیل ماه به سال">'تبديل واحد و اعداد ثابت'!$D$5</definedName>
    <definedName name="ماهیانه" comment="تبدیل روز به ماه">'تبديل واحد و اعداد ثابت'!$D$8</definedName>
    <definedName name="مواد12">[1]بانكها!#REF!</definedName>
    <definedName name="میلیون">'تبديل واحد و اعداد ثابت'!$D$17</definedName>
    <definedName name="هزار">'تبديل واحد و اعداد ثابت'!$D$16</definedName>
  </definedNames>
  <calcPr calcId="191029" iterate="1"/>
  <pivotCaches>
    <pivotCache cacheId="0" r:id="rId31"/>
    <pivotCache cacheId="1" r:id="rId3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89" l="1"/>
  <c r="G4" i="89" s="1"/>
  <c r="H4" i="89" s="1"/>
  <c r="I4" i="89" s="1"/>
  <c r="J4" i="89" s="1"/>
  <c r="K4" i="89" s="1"/>
  <c r="L4" i="89" s="1"/>
  <c r="M4" i="89" s="1"/>
  <c r="N4" i="89" s="1"/>
  <c r="O4" i="89" s="1"/>
  <c r="P4" i="89" s="1"/>
  <c r="Q4" i="89" s="1"/>
  <c r="R4" i="89" s="1"/>
  <c r="E4" i="89"/>
  <c r="E21" i="109"/>
  <c r="E19" i="109"/>
  <c r="E18" i="109"/>
  <c r="E17" i="109"/>
  <c r="C22" i="109"/>
  <c r="C16" i="109"/>
  <c r="C21" i="109"/>
  <c r="C20" i="109"/>
  <c r="C19" i="109"/>
  <c r="C18" i="109"/>
  <c r="C17" i="109"/>
  <c r="C15" i="109"/>
  <c r="C14" i="109"/>
  <c r="C12" i="109"/>
  <c r="C11" i="109"/>
  <c r="C13" i="109"/>
  <c r="D130" i="127"/>
  <c r="D10" i="79"/>
  <c r="G10" i="79" s="1"/>
  <c r="C14" i="104"/>
  <c r="F35" i="74"/>
  <c r="H35" i="74" s="1"/>
  <c r="H17" i="74"/>
  <c r="F17" i="74"/>
  <c r="E16" i="74"/>
  <c r="F238" i="81"/>
  <c r="G238" i="81" s="1"/>
  <c r="E59" i="81" l="1"/>
  <c r="G59" i="81" s="1"/>
  <c r="E16" i="109" s="1"/>
  <c r="H238" i="81"/>
  <c r="C6" i="82" l="1"/>
  <c r="C7" i="82"/>
  <c r="C5" i="82"/>
  <c r="D85" i="111"/>
  <c r="G22" i="117" l="1"/>
  <c r="F22" i="117"/>
  <c r="E22" i="117"/>
  <c r="D22" i="117"/>
  <c r="F16" i="117"/>
  <c r="E16" i="117"/>
  <c r="D16" i="117"/>
  <c r="D19" i="111" l="1"/>
  <c r="D18" i="111"/>
  <c r="D17" i="111"/>
  <c r="D16" i="111"/>
  <c r="D14" i="111"/>
  <c r="D13" i="111"/>
  <c r="D12" i="111"/>
  <c r="D10" i="111"/>
  <c r="D9" i="111"/>
  <c r="D8" i="111"/>
  <c r="G262" i="81"/>
  <c r="H262" i="81" s="1"/>
  <c r="H198" i="81"/>
  <c r="H197" i="81"/>
  <c r="G197" i="81" s="1"/>
  <c r="E50" i="81" s="1"/>
  <c r="D4" i="127"/>
  <c r="E4" i="127" s="1"/>
  <c r="F4" i="127" s="1"/>
  <c r="G4" i="127" s="1"/>
  <c r="H4" i="127" s="1"/>
  <c r="I4" i="127" s="1"/>
  <c r="J4" i="127" s="1"/>
  <c r="K4" i="127" s="1"/>
  <c r="L4" i="127" s="1"/>
  <c r="M4" i="127" s="1"/>
  <c r="N4" i="127" s="1"/>
  <c r="O4" i="127" s="1"/>
  <c r="P4" i="127" s="1"/>
  <c r="Q4" i="127" s="1"/>
  <c r="H3" i="127"/>
  <c r="D3" i="127"/>
  <c r="D4" i="82"/>
  <c r="E4" i="82" s="1"/>
  <c r="F4" i="82" s="1"/>
  <c r="G4" i="82" s="1"/>
  <c r="H4" i="82" s="1"/>
  <c r="I4" i="82" s="1"/>
  <c r="J4" i="82" s="1"/>
  <c r="K4" i="82" s="1"/>
  <c r="L4" i="82" s="1"/>
  <c r="M4" i="82" s="1"/>
  <c r="N4" i="82" s="1"/>
  <c r="O4" i="82" s="1"/>
  <c r="P4" i="82" s="1"/>
  <c r="Q4" i="82" s="1"/>
  <c r="R4" i="82" s="1"/>
  <c r="E3" i="82"/>
  <c r="F3" i="82" s="1"/>
  <c r="G3" i="82" s="1"/>
  <c r="H3" i="82" s="1"/>
  <c r="I3" i="82" s="1"/>
  <c r="J3" i="82" s="1"/>
  <c r="K3" i="82" s="1"/>
  <c r="L3" i="82" s="1"/>
  <c r="M3" i="82" s="1"/>
  <c r="N3" i="82" s="1"/>
  <c r="O3" i="82" s="1"/>
  <c r="P3" i="82" s="1"/>
  <c r="Q3" i="82" s="1"/>
  <c r="R3" i="82" s="1"/>
  <c r="D136" i="127"/>
  <c r="F15" i="81" s="1"/>
  <c r="S17" i="104"/>
  <c r="R17" i="104"/>
  <c r="Q17" i="104"/>
  <c r="P17" i="104"/>
  <c r="O17" i="104"/>
  <c r="N17" i="104"/>
  <c r="M17" i="104"/>
  <c r="L17" i="104"/>
  <c r="K17" i="104"/>
  <c r="J17" i="104"/>
  <c r="I17" i="104"/>
  <c r="H17" i="104"/>
  <c r="G17" i="104"/>
  <c r="D21" i="104"/>
  <c r="C18" i="104"/>
  <c r="C17" i="104"/>
  <c r="C16" i="104"/>
  <c r="C15" i="104"/>
  <c r="C13" i="104"/>
  <c r="C12" i="104"/>
  <c r="C11" i="104"/>
  <c r="C10" i="104"/>
  <c r="C9" i="104"/>
  <c r="C8" i="104"/>
  <c r="C7" i="104"/>
  <c r="R27" i="105"/>
  <c r="F49" i="81" l="1"/>
  <c r="G198" i="81"/>
  <c r="D6" i="128"/>
  <c r="D7" i="128" s="1"/>
  <c r="D8" i="128" s="1"/>
  <c r="D132" i="127"/>
  <c r="F11" i="81" s="1"/>
  <c r="AZ21" i="82"/>
  <c r="CV21" i="82"/>
  <c r="D21" i="82"/>
  <c r="AB20" i="82"/>
  <c r="D24" i="82"/>
  <c r="D25" i="82" s="1"/>
  <c r="E23" i="82"/>
  <c r="F23" i="82" s="1"/>
  <c r="AB22" i="82"/>
  <c r="D14" i="82"/>
  <c r="E14" i="82" s="1"/>
  <c r="E13" i="82"/>
  <c r="D11" i="82"/>
  <c r="E11" i="82"/>
  <c r="B69" i="111"/>
  <c r="B70" i="111"/>
  <c r="B71" i="111"/>
  <c r="B68" i="111"/>
  <c r="B50" i="111"/>
  <c r="F81" i="123"/>
  <c r="F120" i="123"/>
  <c r="F94" i="123"/>
  <c r="F93" i="123"/>
  <c r="F92" i="123"/>
  <c r="F91" i="123"/>
  <c r="F90" i="123"/>
  <c r="F89" i="123"/>
  <c r="F88" i="123"/>
  <c r="F87" i="123"/>
  <c r="F86" i="123"/>
  <c r="F85" i="123"/>
  <c r="F84" i="123"/>
  <c r="F83" i="123"/>
  <c r="F82" i="123"/>
  <c r="F106" i="123"/>
  <c r="F105" i="123"/>
  <c r="F104" i="123"/>
  <c r="F103" i="123"/>
  <c r="F102" i="123"/>
  <c r="F101" i="123"/>
  <c r="F100" i="123"/>
  <c r="F99" i="123"/>
  <c r="F98" i="123"/>
  <c r="F97" i="123"/>
  <c r="F96" i="123"/>
  <c r="F95" i="123"/>
  <c r="F121" i="123"/>
  <c r="F117" i="123"/>
  <c r="F116" i="123"/>
  <c r="F115" i="123"/>
  <c r="F114" i="123"/>
  <c r="F113" i="123"/>
  <c r="F112" i="123"/>
  <c r="F111" i="123"/>
  <c r="F110" i="123"/>
  <c r="F109" i="123"/>
  <c r="F108" i="123"/>
  <c r="F118" i="123"/>
  <c r="F119" i="123"/>
  <c r="F122" i="123"/>
  <c r="F123" i="123"/>
  <c r="F124" i="123"/>
  <c r="F125" i="123"/>
  <c r="F198" i="81" l="1"/>
  <c r="E51" i="81"/>
  <c r="H199" i="81"/>
  <c r="G199" i="81"/>
  <c r="F197" i="81"/>
  <c r="E24" i="82"/>
  <c r="E25" i="82" s="1"/>
  <c r="G23" i="82"/>
  <c r="F24" i="82"/>
  <c r="F25" i="82" s="1"/>
  <c r="F107" i="123"/>
  <c r="F34" i="82"/>
  <c r="G34" i="82" s="1"/>
  <c r="H34" i="82" s="1"/>
  <c r="I34" i="82" s="1"/>
  <c r="J34" i="82" s="1"/>
  <c r="K34" i="82" s="1"/>
  <c r="L34" i="82" s="1"/>
  <c r="M34" i="82" s="1"/>
  <c r="N34" i="82" s="1"/>
  <c r="O34" i="82" s="1"/>
  <c r="P34" i="82" s="1"/>
  <c r="Q34" i="82" s="1"/>
  <c r="R34" i="82" s="1"/>
  <c r="S34" i="82" s="1"/>
  <c r="T34" i="82" s="1"/>
  <c r="U34" i="82" s="1"/>
  <c r="V34" i="82" s="1"/>
  <c r="W34" i="82" s="1"/>
  <c r="X34" i="82" s="1"/>
  <c r="Y34" i="82" s="1"/>
  <c r="Z34" i="82" s="1"/>
  <c r="AA34" i="82" s="1"/>
  <c r="AB34" i="82" s="1"/>
  <c r="AC34" i="82" s="1"/>
  <c r="AD34" i="82" s="1"/>
  <c r="AE34" i="82" s="1"/>
  <c r="AF34" i="82" s="1"/>
  <c r="AG34" i="82" s="1"/>
  <c r="AH34" i="82" s="1"/>
  <c r="AI34" i="82" s="1"/>
  <c r="AJ34" i="82" s="1"/>
  <c r="AK34" i="82" s="1"/>
  <c r="AL34" i="82" s="1"/>
  <c r="AM34" i="82" s="1"/>
  <c r="AN34" i="82" s="1"/>
  <c r="AO34" i="82" s="1"/>
  <c r="AP34" i="82" s="1"/>
  <c r="AQ34" i="82" s="1"/>
  <c r="AR34" i="82" s="1"/>
  <c r="AS34" i="82" s="1"/>
  <c r="AT34" i="82" s="1"/>
  <c r="AU34" i="82" s="1"/>
  <c r="AV34" i="82" s="1"/>
  <c r="AW34" i="82" s="1"/>
  <c r="AX34" i="82" s="1"/>
  <c r="AY34" i="82" s="1"/>
  <c r="AZ34" i="82" s="1"/>
  <c r="BA34" i="82" s="1"/>
  <c r="BB34" i="82" s="1"/>
  <c r="BC34" i="82" s="1"/>
  <c r="BD34" i="82" s="1"/>
  <c r="BE34" i="82" s="1"/>
  <c r="BF34" i="82" s="1"/>
  <c r="BG34" i="82" s="1"/>
  <c r="BH34" i="82" s="1"/>
  <c r="BI34" i="82" s="1"/>
  <c r="BJ34" i="82" s="1"/>
  <c r="BK34" i="82" s="1"/>
  <c r="BL34" i="82" s="1"/>
  <c r="BM34" i="82" s="1"/>
  <c r="BN34" i="82" s="1"/>
  <c r="BO34" i="82" s="1"/>
  <c r="BP34" i="82" s="1"/>
  <c r="BQ34" i="82" s="1"/>
  <c r="BR34" i="82" s="1"/>
  <c r="BS34" i="82" s="1"/>
  <c r="BT34" i="82" s="1"/>
  <c r="BU34" i="82" s="1"/>
  <c r="BV34" i="82" s="1"/>
  <c r="BW34" i="82" s="1"/>
  <c r="BX34" i="82" s="1"/>
  <c r="BY34" i="82" s="1"/>
  <c r="BZ34" i="82" s="1"/>
  <c r="CA34" i="82" s="1"/>
  <c r="CB34" i="82" s="1"/>
  <c r="CC34" i="82" s="1"/>
  <c r="CD34" i="82" s="1"/>
  <c r="CE34" i="82" s="1"/>
  <c r="CF34" i="82" s="1"/>
  <c r="CG34" i="82" s="1"/>
  <c r="CH34" i="82" s="1"/>
  <c r="CI34" i="82" s="1"/>
  <c r="CJ34" i="82" s="1"/>
  <c r="CK34" i="82" s="1"/>
  <c r="CL34" i="82" s="1"/>
  <c r="CM34" i="82" s="1"/>
  <c r="CN34" i="82" s="1"/>
  <c r="CO34" i="82" s="1"/>
  <c r="CP34" i="82" s="1"/>
  <c r="CQ34" i="82" s="1"/>
  <c r="CR34" i="82" s="1"/>
  <c r="CS34" i="82" s="1"/>
  <c r="CT34" i="82" s="1"/>
  <c r="CU34" i="82" s="1"/>
  <c r="CV34" i="82" s="1"/>
  <c r="CW34" i="82" s="1"/>
  <c r="CX34" i="82" s="1"/>
  <c r="CY34" i="82" s="1"/>
  <c r="CZ34" i="82" s="1"/>
  <c r="DA34" i="82" s="1"/>
  <c r="DB34" i="82" s="1"/>
  <c r="DC34" i="82" s="1"/>
  <c r="DD34" i="82" s="1"/>
  <c r="DE34" i="82" s="1"/>
  <c r="DF34" i="82" s="1"/>
  <c r="DG34" i="82" s="1"/>
  <c r="DH34" i="82" s="1"/>
  <c r="DI34" i="82" s="1"/>
  <c r="DJ34" i="82" s="1"/>
  <c r="DK34" i="82" s="1"/>
  <c r="DL34" i="82" s="1"/>
  <c r="DM34" i="82" s="1"/>
  <c r="DN34" i="82" s="1"/>
  <c r="DO34" i="82" s="1"/>
  <c r="DP34" i="82" s="1"/>
  <c r="DQ34" i="82" s="1"/>
  <c r="DR34" i="82" s="1"/>
  <c r="DS34" i="82" s="1"/>
  <c r="DT34" i="82" s="1"/>
  <c r="DU34" i="82" s="1"/>
  <c r="DV34" i="82" s="1"/>
  <c r="DW34" i="82" s="1"/>
  <c r="DX34" i="82" s="1"/>
  <c r="DY34" i="82" s="1"/>
  <c r="DZ34" i="82" s="1"/>
  <c r="EA34" i="82" s="1"/>
  <c r="EB34" i="82" s="1"/>
  <c r="EC34" i="82" s="1"/>
  <c r="ED34" i="82" s="1"/>
  <c r="EE34" i="82" s="1"/>
  <c r="EF34" i="82" s="1"/>
  <c r="EG34" i="82" s="1"/>
  <c r="EH34" i="82" s="1"/>
  <c r="EI34" i="82" s="1"/>
  <c r="EJ34" i="82" s="1"/>
  <c r="EK34" i="82" s="1"/>
  <c r="EL34" i="82" s="1"/>
  <c r="EM34" i="82" s="1"/>
  <c r="EN34" i="82" s="1"/>
  <c r="EO34" i="82" s="1"/>
  <c r="EP34" i="82" s="1"/>
  <c r="EQ34" i="82" s="1"/>
  <c r="ER34" i="82" s="1"/>
  <c r="ES34" i="82" s="1"/>
  <c r="ET34" i="82" s="1"/>
  <c r="EU34" i="82" s="1"/>
  <c r="EV34" i="82" s="1"/>
  <c r="EW34" i="82" s="1"/>
  <c r="EX34" i="82" s="1"/>
  <c r="EY34" i="82" s="1"/>
  <c r="EZ34" i="82" s="1"/>
  <c r="FA34" i="82" s="1"/>
  <c r="FB34" i="82" s="1"/>
  <c r="FC34" i="82" s="1"/>
  <c r="FD34" i="82" s="1"/>
  <c r="FE34" i="82" s="1"/>
  <c r="FF34" i="82" s="1"/>
  <c r="FG34" i="82" s="1"/>
  <c r="FH34" i="82" s="1"/>
  <c r="FI34" i="82" s="1"/>
  <c r="FJ34" i="82" s="1"/>
  <c r="FK34" i="82" s="1"/>
  <c r="FL34" i="82" s="1"/>
  <c r="FM34" i="82" s="1"/>
  <c r="FN34" i="82" s="1"/>
  <c r="FO34" i="82" s="1"/>
  <c r="FP34" i="82" s="1"/>
  <c r="Q33" i="82"/>
  <c r="AC33" i="82" s="1"/>
  <c r="AO33" i="82" s="1"/>
  <c r="BA33" i="82" s="1"/>
  <c r="BM33" i="82" s="1"/>
  <c r="BY33" i="82" s="1"/>
  <c r="CK33" i="82" s="1"/>
  <c r="CW33" i="82" s="1"/>
  <c r="DI33" i="82" s="1"/>
  <c r="DU33" i="82" s="1"/>
  <c r="EG33" i="82" s="1"/>
  <c r="ES33" i="82" s="1"/>
  <c r="FE33" i="82" s="1"/>
  <c r="DU32" i="82"/>
  <c r="BY32" i="82"/>
  <c r="AB32" i="82"/>
  <c r="E32" i="82"/>
  <c r="AB31" i="82"/>
  <c r="E31" i="82"/>
  <c r="D51" i="111"/>
  <c r="D52" i="111" s="1"/>
  <c r="D53" i="111" s="1"/>
  <c r="B51" i="111"/>
  <c r="B52" i="111"/>
  <c r="B53" i="111"/>
  <c r="D30" i="111"/>
  <c r="D37" i="111"/>
  <c r="D33" i="111" l="1"/>
  <c r="D34" i="111" s="1"/>
  <c r="D35" i="111" s="1"/>
  <c r="G7" i="79" s="1"/>
  <c r="E49" i="81"/>
  <c r="H23" i="82"/>
  <c r="G24" i="82"/>
  <c r="G25" i="82" s="1"/>
  <c r="ER21" i="82"/>
  <c r="BX20" i="82"/>
  <c r="F13" i="82"/>
  <c r="G13" i="82" s="1"/>
  <c r="H13" i="82" s="1"/>
  <c r="I13" i="82" s="1"/>
  <c r="J13" i="82" s="1"/>
  <c r="K13" i="82" s="1"/>
  <c r="L13" i="82" s="1"/>
  <c r="M13" i="82" s="1"/>
  <c r="N13" i="82" s="1"/>
  <c r="O13" i="82" s="1"/>
  <c r="P13" i="82" s="1"/>
  <c r="Q13" i="82" s="1"/>
  <c r="R13" i="82" s="1"/>
  <c r="O12" i="82"/>
  <c r="K12" i="82"/>
  <c r="G12" i="82"/>
  <c r="D12" i="82"/>
  <c r="I11" i="82"/>
  <c r="F14" i="82"/>
  <c r="G14" i="82" s="1"/>
  <c r="H14" i="82" s="1"/>
  <c r="I14" i="82" s="1"/>
  <c r="J14" i="82" s="1"/>
  <c r="K14" i="82" s="1"/>
  <c r="L14" i="82" s="1"/>
  <c r="M14" i="82" s="1"/>
  <c r="N14" i="82" s="1"/>
  <c r="O14" i="82" s="1"/>
  <c r="P14" i="82" s="1"/>
  <c r="Q14" i="82" s="1"/>
  <c r="R14" i="82" s="1"/>
  <c r="D20" i="89"/>
  <c r="E18" i="104" l="1"/>
  <c r="D36" i="111"/>
  <c r="D38" i="111" s="1"/>
  <c r="F12" i="81" s="1"/>
  <c r="I23" i="82"/>
  <c r="H24" i="82"/>
  <c r="H25" i="82" s="1"/>
  <c r="AN22" i="82"/>
  <c r="I15" i="123"/>
  <c r="I8" i="123"/>
  <c r="AZ22" i="82" l="1"/>
  <c r="J23" i="82"/>
  <c r="I24" i="82"/>
  <c r="I25" i="82" s="1"/>
  <c r="BL22" i="82" l="1"/>
  <c r="K23" i="82"/>
  <c r="J24" i="82"/>
  <c r="J25" i="82" s="1"/>
  <c r="BX22" i="82" l="1"/>
  <c r="L23" i="82"/>
  <c r="K24" i="82"/>
  <c r="K25" i="82" s="1"/>
  <c r="CJ22" i="82" l="1"/>
  <c r="M23" i="82"/>
  <c r="L24" i="82"/>
  <c r="L25" i="82" s="1"/>
  <c r="CV22" i="82" l="1"/>
  <c r="N23" i="82"/>
  <c r="M24" i="82"/>
  <c r="M25" i="82" s="1"/>
  <c r="DH22" i="82" l="1"/>
  <c r="O23" i="82"/>
  <c r="N24" i="82"/>
  <c r="N25" i="82" s="1"/>
  <c r="DT22" i="82" l="1"/>
  <c r="P23" i="82"/>
  <c r="O24" i="82"/>
  <c r="O25" i="82" s="1"/>
  <c r="EF22" i="82" l="1"/>
  <c r="Q23" i="82"/>
  <c r="P24" i="82"/>
  <c r="P25" i="82" s="1"/>
  <c r="ER22" i="82" l="1"/>
  <c r="R23" i="82"/>
  <c r="Q24" i="82"/>
  <c r="Q25" i="82" s="1"/>
  <c r="FD22" i="82" l="1"/>
  <c r="S23" i="82"/>
  <c r="R24" i="82"/>
  <c r="R25" i="82" s="1"/>
  <c r="FP22" i="82" l="1"/>
  <c r="T23" i="82"/>
  <c r="S24" i="82"/>
  <c r="S25" i="82" s="1"/>
  <c r="GB22" i="82" l="1"/>
  <c r="U23" i="82"/>
  <c r="T24" i="82"/>
  <c r="T25" i="82" s="1"/>
  <c r="V23" i="82" l="1"/>
  <c r="U24" i="82"/>
  <c r="U25" i="82" s="1"/>
  <c r="W23" i="82" l="1"/>
  <c r="V24" i="82"/>
  <c r="V25" i="82" s="1"/>
  <c r="X23" i="82" l="1"/>
  <c r="W24" i="82"/>
  <c r="W25" i="82" s="1"/>
  <c r="Y23" i="82" l="1"/>
  <c r="X24" i="82"/>
  <c r="X25" i="82" s="1"/>
  <c r="Z23" i="82" l="1"/>
  <c r="Y24" i="82"/>
  <c r="Y25" i="82" s="1"/>
  <c r="AA23" i="82" l="1"/>
  <c r="Z24" i="82"/>
  <c r="Z25" i="82" s="1"/>
  <c r="AB23" i="82" l="1"/>
  <c r="AB27" i="82" s="1"/>
  <c r="AA24" i="82"/>
  <c r="AA25" i="82" s="1"/>
  <c r="AB24" i="82" l="1"/>
  <c r="AC23" i="82"/>
  <c r="AC27" i="82" s="1"/>
  <c r="E35" i="82"/>
  <c r="AB25" i="82" l="1"/>
  <c r="AC24" i="82"/>
  <c r="F35" i="82"/>
  <c r="AD23" i="82"/>
  <c r="AD27" i="82" s="1"/>
  <c r="AC25" i="82" l="1"/>
  <c r="AD24" i="82"/>
  <c r="AE23" i="82"/>
  <c r="AE27" i="82" s="1"/>
  <c r="G35" i="82"/>
  <c r="AD25" i="82" l="1"/>
  <c r="AE24" i="82"/>
  <c r="H35" i="82"/>
  <c r="AF23" i="82"/>
  <c r="AF27" i="82" s="1"/>
  <c r="AE25" i="82" l="1"/>
  <c r="AF24" i="82"/>
  <c r="AG23" i="82"/>
  <c r="AG27" i="82" s="1"/>
  <c r="I35" i="82"/>
  <c r="AF25" i="82" l="1"/>
  <c r="AG24" i="82"/>
  <c r="AH23" i="82"/>
  <c r="AH27" i="82" s="1"/>
  <c r="J35" i="82"/>
  <c r="AG25" i="82" l="1"/>
  <c r="AH24" i="82"/>
  <c r="AI23" i="82"/>
  <c r="AI27" i="82" s="1"/>
  <c r="K35" i="82"/>
  <c r="AH25" i="82" l="1"/>
  <c r="AI24" i="82"/>
  <c r="AJ23" i="82"/>
  <c r="AJ27" i="82" s="1"/>
  <c r="L35" i="82"/>
  <c r="AI25" i="82" l="1"/>
  <c r="AJ24" i="82"/>
  <c r="AK23" i="82"/>
  <c r="AK27" i="82" s="1"/>
  <c r="M35" i="82"/>
  <c r="AJ25" i="82" l="1"/>
  <c r="AK24" i="82"/>
  <c r="AL23" i="82"/>
  <c r="AL27" i="82" s="1"/>
  <c r="N35" i="82"/>
  <c r="AK25" i="82" l="1"/>
  <c r="AL24" i="82"/>
  <c r="AM23" i="82"/>
  <c r="AM27" i="82" s="1"/>
  <c r="O35" i="82"/>
  <c r="AL25" i="82" l="1"/>
  <c r="AM24" i="82"/>
  <c r="P35" i="82"/>
  <c r="AN23" i="82"/>
  <c r="AN27" i="82" s="1"/>
  <c r="AM25" i="82" l="1"/>
  <c r="AN24" i="82"/>
  <c r="Q35" i="82"/>
  <c r="AO23" i="82"/>
  <c r="AO27" i="82" s="1"/>
  <c r="AN25" i="82" l="1"/>
  <c r="AO24" i="82"/>
  <c r="AP23" i="82"/>
  <c r="AP27" i="82" s="1"/>
  <c r="R35" i="82"/>
  <c r="AO25" i="82" l="1"/>
  <c r="AP24" i="82"/>
  <c r="S35" i="82"/>
  <c r="AQ23" i="82"/>
  <c r="AQ27" i="82" s="1"/>
  <c r="AP25" i="82" l="1"/>
  <c r="AQ24" i="82"/>
  <c r="AR23" i="82"/>
  <c r="AR27" i="82" s="1"/>
  <c r="T35" i="82"/>
  <c r="AQ25" i="82" l="1"/>
  <c r="AR24" i="82"/>
  <c r="U35" i="82"/>
  <c r="AS23" i="82"/>
  <c r="AS27" i="82" s="1"/>
  <c r="AR25" i="82" l="1"/>
  <c r="AS24" i="82"/>
  <c r="AT23" i="82"/>
  <c r="AT27" i="82" s="1"/>
  <c r="V35" i="82"/>
  <c r="AS25" i="82" l="1"/>
  <c r="AT24" i="82"/>
  <c r="AU23" i="82"/>
  <c r="AU27" i="82" s="1"/>
  <c r="W35" i="82"/>
  <c r="AT25" i="82" l="1"/>
  <c r="AU24" i="82"/>
  <c r="X35" i="82"/>
  <c r="AV23" i="82"/>
  <c r="AV27" i="82" s="1"/>
  <c r="AU25" i="82" l="1"/>
  <c r="AV24" i="82"/>
  <c r="Y35" i="82"/>
  <c r="AW23" i="82"/>
  <c r="AW27" i="82" s="1"/>
  <c r="AV25" i="82" l="1"/>
  <c r="AW24" i="82"/>
  <c r="AX23" i="82"/>
  <c r="AX27" i="82" s="1"/>
  <c r="Z35" i="82"/>
  <c r="AW25" i="82" l="1"/>
  <c r="AX24" i="82"/>
  <c r="AY23" i="82"/>
  <c r="AY27" i="82" s="1"/>
  <c r="AA35" i="82"/>
  <c r="AX25" i="82" l="1"/>
  <c r="AY24" i="82"/>
  <c r="AY25" i="82" s="1"/>
  <c r="AZ23" i="82"/>
  <c r="AZ27" i="82" s="1"/>
  <c r="AB35" i="82"/>
  <c r="BA23" i="82" l="1"/>
  <c r="BA27" i="82" s="1"/>
  <c r="AC35" i="82"/>
  <c r="AZ24" i="82"/>
  <c r="BA24" i="82" l="1"/>
  <c r="BA25" i="82" s="1"/>
  <c r="AZ25" i="82"/>
  <c r="BB23" i="82"/>
  <c r="BB27" i="82" s="1"/>
  <c r="AD35" i="82"/>
  <c r="BC23" i="82" l="1"/>
  <c r="BC27" i="82" s="1"/>
  <c r="AE35" i="82"/>
  <c r="BB24" i="82"/>
  <c r="BB25" i="82" l="1"/>
  <c r="BD23" i="82"/>
  <c r="BD27" i="82" s="1"/>
  <c r="AF35" i="82"/>
  <c r="BC24" i="82"/>
  <c r="BC25" i="82" l="1"/>
  <c r="BE23" i="82"/>
  <c r="BE27" i="82" s="1"/>
  <c r="AG35" i="82"/>
  <c r="BD24" i="82"/>
  <c r="BD25" i="82" l="1"/>
  <c r="BF23" i="82"/>
  <c r="BF27" i="82" s="1"/>
  <c r="AH35" i="82"/>
  <c r="BE24" i="82"/>
  <c r="BE25" i="82" l="1"/>
  <c r="BG23" i="82"/>
  <c r="BG27" i="82" s="1"/>
  <c r="AI35" i="82"/>
  <c r="BF24" i="82"/>
  <c r="BF25" i="82" l="1"/>
  <c r="BH23" i="82"/>
  <c r="BH27" i="82" s="1"/>
  <c r="AJ35" i="82"/>
  <c r="BG24" i="82"/>
  <c r="BG25" i="82" l="1"/>
  <c r="BI23" i="82"/>
  <c r="BI27" i="82" s="1"/>
  <c r="AK35" i="82"/>
  <c r="BH24" i="82"/>
  <c r="BH25" i="82" l="1"/>
  <c r="BJ23" i="82"/>
  <c r="BJ27" i="82" s="1"/>
  <c r="AL35" i="82"/>
  <c r="BI24" i="82"/>
  <c r="BI25" i="82" l="1"/>
  <c r="AM35" i="82"/>
  <c r="BK23" i="82"/>
  <c r="BK27" i="82" s="1"/>
  <c r="BJ24" i="82"/>
  <c r="BJ25" i="82" l="1"/>
  <c r="BL23" i="82"/>
  <c r="BL27" i="82" s="1"/>
  <c r="AN35" i="82"/>
  <c r="BK24" i="82"/>
  <c r="BK25" i="82" l="1"/>
  <c r="BM23" i="82"/>
  <c r="BM27" i="82" s="1"/>
  <c r="AO35" i="82"/>
  <c r="BL24" i="82"/>
  <c r="BL25" i="82" l="1"/>
  <c r="BN23" i="82"/>
  <c r="BN27" i="82" s="1"/>
  <c r="AP35" i="82"/>
  <c r="BM24" i="82"/>
  <c r="BM25" i="82" l="1"/>
  <c r="AQ35" i="82"/>
  <c r="BO23" i="82"/>
  <c r="BO27" i="82" s="1"/>
  <c r="BN24" i="82"/>
  <c r="BN25" i="82" l="1"/>
  <c r="AR35" i="82"/>
  <c r="BP23" i="82"/>
  <c r="BP27" i="82" s="1"/>
  <c r="BO24" i="82"/>
  <c r="BO25" i="82" l="1"/>
  <c r="BQ23" i="82"/>
  <c r="BQ27" i="82" s="1"/>
  <c r="AS35" i="82"/>
  <c r="BP24" i="82"/>
  <c r="BP25" i="82" l="1"/>
  <c r="AT35" i="82"/>
  <c r="BR23" i="82"/>
  <c r="BR27" i="82" s="1"/>
  <c r="BQ24" i="82"/>
  <c r="BQ25" i="82" l="1"/>
  <c r="BS23" i="82"/>
  <c r="BS27" i="82" s="1"/>
  <c r="AU35" i="82"/>
  <c r="BR24" i="82"/>
  <c r="BR25" i="82" l="1"/>
  <c r="AV35" i="82"/>
  <c r="BT23" i="82"/>
  <c r="BT27" i="82" s="1"/>
  <c r="BS24" i="82"/>
  <c r="BS25" i="82" l="1"/>
  <c r="BT24" i="82"/>
  <c r="AW35" i="82"/>
  <c r="BU23" i="82"/>
  <c r="BU27" i="82" s="1"/>
  <c r="BT25" i="82" l="1"/>
  <c r="BU24" i="82"/>
  <c r="AX35" i="82"/>
  <c r="BV23" i="82"/>
  <c r="BV27" i="82" s="1"/>
  <c r="BU25" i="82" l="1"/>
  <c r="BV24" i="82"/>
  <c r="AY35" i="82"/>
  <c r="BW23" i="82"/>
  <c r="BW27" i="82" s="1"/>
  <c r="BV25" i="82" l="1"/>
  <c r="BW24" i="82"/>
  <c r="AZ35" i="82"/>
  <c r="BX23" i="82"/>
  <c r="BX27" i="82" s="1"/>
  <c r="BW25" i="82" l="1"/>
  <c r="BX24" i="82"/>
  <c r="BY23" i="82"/>
  <c r="BY27" i="82" s="1"/>
  <c r="BA35" i="82"/>
  <c r="BX25" i="82" l="1"/>
  <c r="BY24" i="82"/>
  <c r="BZ23" i="82"/>
  <c r="BZ27" i="82" s="1"/>
  <c r="BB35" i="82"/>
  <c r="BY25" i="82" l="1"/>
  <c r="BZ24" i="82"/>
  <c r="BC35" i="82"/>
  <c r="CA23" i="82"/>
  <c r="CA27" i="82" s="1"/>
  <c r="BZ25" i="82" l="1"/>
  <c r="CA24" i="82"/>
  <c r="BD35" i="82"/>
  <c r="CB23" i="82"/>
  <c r="CB27" i="82" s="1"/>
  <c r="CA25" i="82" l="1"/>
  <c r="CB24" i="82"/>
  <c r="BE35" i="82"/>
  <c r="CC23" i="82"/>
  <c r="CC27" i="82" s="1"/>
  <c r="CB25" i="82" l="1"/>
  <c r="CC24" i="82"/>
  <c r="BF35" i="82"/>
  <c r="CD23" i="82"/>
  <c r="CD27" i="82" s="1"/>
  <c r="CC25" i="82" l="1"/>
  <c r="CD24" i="82"/>
  <c r="BG35" i="82"/>
  <c r="CE23" i="82"/>
  <c r="CE27" i="82" s="1"/>
  <c r="CD25" i="82" l="1"/>
  <c r="CE24" i="82"/>
  <c r="CF23" i="82"/>
  <c r="CF27" i="82" s="1"/>
  <c r="BH35" i="82"/>
  <c r="CE25" i="82" l="1"/>
  <c r="CF24" i="82"/>
  <c r="CG23" i="82"/>
  <c r="CG27" i="82" s="1"/>
  <c r="BI35" i="82"/>
  <c r="CF25" i="82" l="1"/>
  <c r="CG24" i="82"/>
  <c r="BJ35" i="82"/>
  <c r="CH23" i="82"/>
  <c r="CH27" i="82" s="1"/>
  <c r="CG25" i="82" l="1"/>
  <c r="CH24" i="82"/>
  <c r="BK35" i="82"/>
  <c r="CI23" i="82"/>
  <c r="CI27" i="82" s="1"/>
  <c r="CH25" i="82" l="1"/>
  <c r="CI24" i="82"/>
  <c r="BL35" i="82"/>
  <c r="CJ23" i="82"/>
  <c r="CJ27" i="82" s="1"/>
  <c r="CI25" i="82" l="1"/>
  <c r="CJ24" i="82"/>
  <c r="CK23" i="82"/>
  <c r="CK27" i="82" s="1"/>
  <c r="BM35" i="82"/>
  <c r="CJ25" i="82" l="1"/>
  <c r="CK24" i="82"/>
  <c r="BN35" i="82"/>
  <c r="CL23" i="82"/>
  <c r="CL27" i="82" s="1"/>
  <c r="CK25" i="82" l="1"/>
  <c r="CL24" i="82"/>
  <c r="BO35" i="82"/>
  <c r="CM23" i="82"/>
  <c r="CM27" i="82" s="1"/>
  <c r="CL25" i="82" l="1"/>
  <c r="CM24" i="82"/>
  <c r="BP35" i="82"/>
  <c r="CN23" i="82"/>
  <c r="CN27" i="82" s="1"/>
  <c r="CM25" i="82" l="1"/>
  <c r="CN24" i="82"/>
  <c r="BQ35" i="82"/>
  <c r="CO23" i="82"/>
  <c r="CO27" i="82" s="1"/>
  <c r="CN25" i="82" l="1"/>
  <c r="CO24" i="82"/>
  <c r="BR35" i="82"/>
  <c r="CP23" i="82"/>
  <c r="CP27" i="82" s="1"/>
  <c r="CO25" i="82" l="1"/>
  <c r="CP24" i="82"/>
  <c r="BS35" i="82"/>
  <c r="CQ23" i="82"/>
  <c r="CQ27" i="82" s="1"/>
  <c r="CP25" i="82" l="1"/>
  <c r="CQ24" i="82"/>
  <c r="CR23" i="82"/>
  <c r="CR27" i="82" s="1"/>
  <c r="BT35" i="82"/>
  <c r="CQ25" i="82" l="1"/>
  <c r="CR24" i="82"/>
  <c r="BU35" i="82"/>
  <c r="CS23" i="82"/>
  <c r="CS27" i="82" s="1"/>
  <c r="CR25" i="82" l="1"/>
  <c r="CS24" i="82"/>
  <c r="BV35" i="82"/>
  <c r="CT23" i="82"/>
  <c r="CT27" i="82" s="1"/>
  <c r="CS25" i="82" l="1"/>
  <c r="CT24" i="82"/>
  <c r="CU23" i="82"/>
  <c r="CU27" i="82" s="1"/>
  <c r="BW35" i="82"/>
  <c r="CT25" i="82" l="1"/>
  <c r="CU24" i="82"/>
  <c r="CU25" i="82" s="1"/>
  <c r="CV23" i="82"/>
  <c r="CV27" i="82" s="1"/>
  <c r="BX35" i="82"/>
  <c r="BY35" i="82" l="1"/>
  <c r="CW23" i="82"/>
  <c r="CW27" i="82" s="1"/>
  <c r="CV24" i="82"/>
  <c r="CW24" i="82" l="1"/>
  <c r="CW25" i="82" s="1"/>
  <c r="CV25" i="82"/>
  <c r="BZ35" i="82"/>
  <c r="CX23" i="82"/>
  <c r="CX27" i="82" s="1"/>
  <c r="CA35" i="82" l="1"/>
  <c r="CY23" i="82"/>
  <c r="CY27" i="82" s="1"/>
  <c r="CX24" i="82"/>
  <c r="CX25" i="82" l="1"/>
  <c r="CB35" i="82"/>
  <c r="CZ23" i="82"/>
  <c r="CZ27" i="82" s="1"/>
  <c r="CY24" i="82"/>
  <c r="CY25" i="82" l="1"/>
  <c r="CC35" i="82"/>
  <c r="DA23" i="82"/>
  <c r="DA27" i="82" s="1"/>
  <c r="CZ24" i="82"/>
  <c r="CZ25" i="82" l="1"/>
  <c r="CD35" i="82"/>
  <c r="DB23" i="82"/>
  <c r="DB27" i="82" s="1"/>
  <c r="DA24" i="82"/>
  <c r="DA25" i="82" l="1"/>
  <c r="CE35" i="82"/>
  <c r="DC23" i="82"/>
  <c r="DC27" i="82" s="1"/>
  <c r="DB24" i="82"/>
  <c r="DB25" i="82" l="1"/>
  <c r="DD23" i="82"/>
  <c r="DD27" i="82" s="1"/>
  <c r="CF35" i="82"/>
  <c r="DC24" i="82"/>
  <c r="DC25" i="82" l="1"/>
  <c r="DE23" i="82"/>
  <c r="DE27" i="82" s="1"/>
  <c r="CG35" i="82"/>
  <c r="DD24" i="82"/>
  <c r="DD25" i="82" l="1"/>
  <c r="CH35" i="82"/>
  <c r="DF23" i="82"/>
  <c r="DF27" i="82" s="1"/>
  <c r="DE24" i="82"/>
  <c r="DE25" i="82" l="1"/>
  <c r="DG23" i="82"/>
  <c r="DG27" i="82" s="1"/>
  <c r="CI35" i="82"/>
  <c r="DF24" i="82"/>
  <c r="DF25" i="82" l="1"/>
  <c r="CJ35" i="82"/>
  <c r="DH23" i="82"/>
  <c r="DH27" i="82" s="1"/>
  <c r="DG24" i="82"/>
  <c r="DG25" i="82" l="1"/>
  <c r="CK35" i="82"/>
  <c r="DI23" i="82"/>
  <c r="DI27" i="82" s="1"/>
  <c r="DH24" i="82"/>
  <c r="DH25" i="82" l="1"/>
  <c r="CL35" i="82"/>
  <c r="DJ23" i="82"/>
  <c r="DJ27" i="82" s="1"/>
  <c r="DI24" i="82"/>
  <c r="DI25" i="82" l="1"/>
  <c r="CM35" i="82"/>
  <c r="DK23" i="82"/>
  <c r="DK27" i="82" s="1"/>
  <c r="DJ24" i="82"/>
  <c r="DJ25" i="82" l="1"/>
  <c r="CN35" i="82"/>
  <c r="DL23" i="82"/>
  <c r="DL27" i="82" s="1"/>
  <c r="DK24" i="82"/>
  <c r="DK25" i="82" l="1"/>
  <c r="CO35" i="82"/>
  <c r="DM23" i="82"/>
  <c r="DM27" i="82" s="1"/>
  <c r="DL24" i="82"/>
  <c r="DL25" i="82" l="1"/>
  <c r="CP35" i="82"/>
  <c r="DN23" i="82"/>
  <c r="DN27" i="82" s="1"/>
  <c r="DM24" i="82"/>
  <c r="DM25" i="82" l="1"/>
  <c r="CQ35" i="82"/>
  <c r="DO23" i="82"/>
  <c r="DO27" i="82" s="1"/>
  <c r="DN24" i="82"/>
  <c r="DN25" i="82" l="1"/>
  <c r="CR35" i="82"/>
  <c r="DP23" i="82"/>
  <c r="DP27" i="82" s="1"/>
  <c r="DO24" i="82"/>
  <c r="DO25" i="82" l="1"/>
  <c r="DP24" i="82"/>
  <c r="CS35" i="82"/>
  <c r="DQ23" i="82"/>
  <c r="DQ27" i="82" s="1"/>
  <c r="DP25" i="82" l="1"/>
  <c r="DQ24" i="82"/>
  <c r="CT35" i="82"/>
  <c r="DR23" i="82"/>
  <c r="DR27" i="82" s="1"/>
  <c r="DQ25" i="82" l="1"/>
  <c r="DR24" i="82"/>
  <c r="CU35" i="82"/>
  <c r="DS23" i="82"/>
  <c r="DS27" i="82" s="1"/>
  <c r="DR25" i="82" l="1"/>
  <c r="DS24" i="82"/>
  <c r="CV35" i="82"/>
  <c r="DT23" i="82"/>
  <c r="DT27" i="82" s="1"/>
  <c r="DS25" i="82" l="1"/>
  <c r="DT24" i="82"/>
  <c r="CW35" i="82"/>
  <c r="DU23" i="82"/>
  <c r="DU27" i="82" s="1"/>
  <c r="DT25" i="82" l="1"/>
  <c r="DU24" i="82"/>
  <c r="CX35" i="82"/>
  <c r="DV23" i="82"/>
  <c r="DV27" i="82" s="1"/>
  <c r="DU25" i="82" l="1"/>
  <c r="DV24" i="82"/>
  <c r="CY35" i="82"/>
  <c r="DW23" i="82"/>
  <c r="DW27" i="82" s="1"/>
  <c r="DV25" i="82" l="1"/>
  <c r="DW24" i="82"/>
  <c r="CZ35" i="82"/>
  <c r="DX23" i="82"/>
  <c r="DX27" i="82" s="1"/>
  <c r="DW25" i="82" l="1"/>
  <c r="DX24" i="82"/>
  <c r="DA35" i="82"/>
  <c r="DY23" i="82"/>
  <c r="DY27" i="82" s="1"/>
  <c r="DX25" i="82" l="1"/>
  <c r="DY24" i="82"/>
  <c r="DB35" i="82"/>
  <c r="DZ23" i="82"/>
  <c r="DZ27" i="82" s="1"/>
  <c r="DY25" i="82" l="1"/>
  <c r="DZ24" i="82"/>
  <c r="DC35" i="82"/>
  <c r="EA23" i="82"/>
  <c r="EA27" i="82" s="1"/>
  <c r="DZ25" i="82" l="1"/>
  <c r="EA24" i="82"/>
  <c r="DD35" i="82"/>
  <c r="EB23" i="82"/>
  <c r="EB27" i="82" s="1"/>
  <c r="EA25" i="82" l="1"/>
  <c r="EB24" i="82"/>
  <c r="DE35" i="82"/>
  <c r="EC23" i="82"/>
  <c r="EC27" i="82" s="1"/>
  <c r="EB25" i="82" l="1"/>
  <c r="EC24" i="82"/>
  <c r="DF35" i="82"/>
  <c r="ED23" i="82"/>
  <c r="ED27" i="82" s="1"/>
  <c r="EC25" i="82" l="1"/>
  <c r="ED24" i="82"/>
  <c r="DG35" i="82"/>
  <c r="EE23" i="82"/>
  <c r="EE27" i="82" s="1"/>
  <c r="ED25" i="82" l="1"/>
  <c r="EE24" i="82"/>
  <c r="DH35" i="82"/>
  <c r="EF23" i="82"/>
  <c r="EF27" i="82" s="1"/>
  <c r="EE25" i="82" l="1"/>
  <c r="EF24" i="82"/>
  <c r="DI35" i="82"/>
  <c r="EG23" i="82"/>
  <c r="EG27" i="82" s="1"/>
  <c r="EF25" i="82" l="1"/>
  <c r="EG24" i="82"/>
  <c r="DJ35" i="82"/>
  <c r="EH23" i="82"/>
  <c r="EH27" i="82" s="1"/>
  <c r="EG25" i="82" l="1"/>
  <c r="EH24" i="82"/>
  <c r="DK35" i="82"/>
  <c r="EI23" i="82"/>
  <c r="EI27" i="82" s="1"/>
  <c r="EH25" i="82" l="1"/>
  <c r="EI24" i="82"/>
  <c r="DL35" i="82"/>
  <c r="EJ23" i="82"/>
  <c r="EJ27" i="82" s="1"/>
  <c r="EI25" i="82" l="1"/>
  <c r="EJ24" i="82"/>
  <c r="DM35" i="82"/>
  <c r="EK23" i="82"/>
  <c r="EK27" i="82" s="1"/>
  <c r="EJ25" i="82" l="1"/>
  <c r="EK24" i="82"/>
  <c r="DN35" i="82"/>
  <c r="EL23" i="82"/>
  <c r="EL27" i="82" s="1"/>
  <c r="EK25" i="82" l="1"/>
  <c r="EL24" i="82"/>
  <c r="DO35" i="82"/>
  <c r="EM23" i="82"/>
  <c r="EM27" i="82" s="1"/>
  <c r="EL25" i="82" l="1"/>
  <c r="EM24" i="82"/>
  <c r="DP35" i="82"/>
  <c r="EN23" i="82"/>
  <c r="EN27" i="82" s="1"/>
  <c r="EM25" i="82" l="1"/>
  <c r="EN24" i="82"/>
  <c r="DQ35" i="82"/>
  <c r="EO23" i="82"/>
  <c r="EO27" i="82" s="1"/>
  <c r="EN25" i="82" l="1"/>
  <c r="EO24" i="82"/>
  <c r="DR35" i="82"/>
  <c r="EP23" i="82"/>
  <c r="EP27" i="82" s="1"/>
  <c r="EO25" i="82" l="1"/>
  <c r="EP24" i="82"/>
  <c r="DS35" i="82"/>
  <c r="EQ23" i="82"/>
  <c r="EQ27" i="82" s="1"/>
  <c r="EP25" i="82" l="1"/>
  <c r="EQ24" i="82"/>
  <c r="EQ25" i="82" s="1"/>
  <c r="ER23" i="82"/>
  <c r="ER27" i="82" s="1"/>
  <c r="DT35" i="82"/>
  <c r="DU35" i="82" l="1"/>
  <c r="ES23" i="82"/>
  <c r="ES27" i="82" s="1"/>
  <c r="ER24" i="82"/>
  <c r="ES24" i="82" l="1"/>
  <c r="ES25" i="82" s="1"/>
  <c r="ER25" i="82"/>
  <c r="DV35" i="82"/>
  <c r="ET23" i="82"/>
  <c r="ET27" i="82" s="1"/>
  <c r="DW35" i="82" l="1"/>
  <c r="EU23" i="82"/>
  <c r="EU27" i="82" s="1"/>
  <c r="ET24" i="82"/>
  <c r="ET25" i="82" l="1"/>
  <c r="DX35" i="82"/>
  <c r="EV23" i="82"/>
  <c r="EV27" i="82" s="1"/>
  <c r="EU24" i="82"/>
  <c r="EU25" i="82" l="1"/>
  <c r="EW23" i="82"/>
  <c r="EW27" i="82" s="1"/>
  <c r="DY35" i="82"/>
  <c r="EV24" i="82"/>
  <c r="EV25" i="82" l="1"/>
  <c r="DZ35" i="82"/>
  <c r="EX23" i="82"/>
  <c r="EX27" i="82" s="1"/>
  <c r="EW24" i="82"/>
  <c r="EW25" i="82" l="1"/>
  <c r="EA35" i="82"/>
  <c r="EY23" i="82"/>
  <c r="EY27" i="82" s="1"/>
  <c r="EX24" i="82"/>
  <c r="EX25" i="82" l="1"/>
  <c r="EB35" i="82"/>
  <c r="EZ23" i="82"/>
  <c r="EZ27" i="82" s="1"/>
  <c r="EY24" i="82"/>
  <c r="EY25" i="82" l="1"/>
  <c r="EC35" i="82"/>
  <c r="FA23" i="82"/>
  <c r="FA27" i="82" s="1"/>
  <c r="EZ24" i="82"/>
  <c r="EZ25" i="82" l="1"/>
  <c r="ED35" i="82"/>
  <c r="FB23" i="82"/>
  <c r="FB27" i="82" s="1"/>
  <c r="FA24" i="82"/>
  <c r="FA25" i="82" l="1"/>
  <c r="EE35" i="82"/>
  <c r="FC23" i="82"/>
  <c r="FC27" i="82" s="1"/>
  <c r="FB24" i="82"/>
  <c r="FB25" i="82" l="1"/>
  <c r="EF35" i="82"/>
  <c r="FD23" i="82"/>
  <c r="FD27" i="82" s="1"/>
  <c r="FC24" i="82"/>
  <c r="FC25" i="82" l="1"/>
  <c r="EG35" i="82"/>
  <c r="FE23" i="82"/>
  <c r="FE27" i="82" s="1"/>
  <c r="FD24" i="82"/>
  <c r="FD25" i="82" l="1"/>
  <c r="EH35" i="82"/>
  <c r="FF23" i="82"/>
  <c r="FF27" i="82" s="1"/>
  <c r="FE24" i="82"/>
  <c r="FE25" i="82" l="1"/>
  <c r="EI35" i="82"/>
  <c r="FG23" i="82"/>
  <c r="FG27" i="82" s="1"/>
  <c r="FF24" i="82"/>
  <c r="FF25" i="82" l="1"/>
  <c r="FH23" i="82"/>
  <c r="FH27" i="82" s="1"/>
  <c r="EJ35" i="82"/>
  <c r="FG24" i="82"/>
  <c r="FG25" i="82" l="1"/>
  <c r="EK35" i="82"/>
  <c r="FI23" i="82"/>
  <c r="FI27" i="82" s="1"/>
  <c r="FH24" i="82"/>
  <c r="FH25" i="82" l="1"/>
  <c r="FJ23" i="82"/>
  <c r="FJ27" i="82" s="1"/>
  <c r="EL35" i="82"/>
  <c r="FI24" i="82"/>
  <c r="FI25" i="82" l="1"/>
  <c r="EM35" i="82"/>
  <c r="FK23" i="82"/>
  <c r="FK27" i="82" s="1"/>
  <c r="FJ24" i="82"/>
  <c r="FJ25" i="82" l="1"/>
  <c r="EN35" i="82"/>
  <c r="FL23" i="82"/>
  <c r="FL27" i="82" s="1"/>
  <c r="FK24" i="82"/>
  <c r="FK25" i="82" l="1"/>
  <c r="FL24" i="82"/>
  <c r="EO35" i="82"/>
  <c r="FM23" i="82"/>
  <c r="FM27" i="82" s="1"/>
  <c r="FL25" i="82" l="1"/>
  <c r="FM24" i="82"/>
  <c r="EP35" i="82"/>
  <c r="FN23" i="82"/>
  <c r="FN27" i="82" s="1"/>
  <c r="FM25" i="82" l="1"/>
  <c r="FN24" i="82"/>
  <c r="EQ35" i="82"/>
  <c r="FO23" i="82"/>
  <c r="FO27" i="82" s="1"/>
  <c r="FN25" i="82" l="1"/>
  <c r="FO24" i="82"/>
  <c r="ER35" i="82"/>
  <c r="FP23" i="82"/>
  <c r="FP27" i="82" s="1"/>
  <c r="FO25" i="82" l="1"/>
  <c r="FP24" i="82"/>
  <c r="FQ23" i="82"/>
  <c r="FQ27" i="82" s="1"/>
  <c r="ES35" i="82"/>
  <c r="FP25" i="82" l="1"/>
  <c r="FQ24" i="82"/>
  <c r="ET35" i="82"/>
  <c r="FR23" i="82"/>
  <c r="FR27" i="82" s="1"/>
  <c r="FQ25" i="82" l="1"/>
  <c r="FR24" i="82"/>
  <c r="EU35" i="82"/>
  <c r="FS23" i="82"/>
  <c r="FS27" i="82" s="1"/>
  <c r="FR25" i="82" l="1"/>
  <c r="FS24" i="82"/>
  <c r="EV35" i="82"/>
  <c r="FT23" i="82"/>
  <c r="FT27" i="82" s="1"/>
  <c r="FS25" i="82" l="1"/>
  <c r="FT24" i="82"/>
  <c r="EW35" i="82"/>
  <c r="FU23" i="82"/>
  <c r="FU27" i="82" s="1"/>
  <c r="D23" i="104"/>
  <c r="D24" i="104"/>
  <c r="D25" i="104"/>
  <c r="D26" i="104"/>
  <c r="D27" i="104"/>
  <c r="D28" i="104"/>
  <c r="D29" i="104"/>
  <c r="D30" i="104"/>
  <c r="D31" i="104"/>
  <c r="D32" i="104"/>
  <c r="D22" i="104"/>
  <c r="C30" i="104"/>
  <c r="C32" i="104"/>
  <c r="C31" i="104"/>
  <c r="C29" i="104"/>
  <c r="C28" i="104"/>
  <c r="C27" i="104"/>
  <c r="C26" i="104"/>
  <c r="C25" i="104"/>
  <c r="E20" i="100"/>
  <c r="C6" i="100"/>
  <c r="D40" i="100"/>
  <c r="E40" i="100" s="1"/>
  <c r="G27" i="102"/>
  <c r="G28" i="102"/>
  <c r="G29" i="102"/>
  <c r="G30" i="102"/>
  <c r="G31" i="102"/>
  <c r="G32" i="102"/>
  <c r="G33" i="102"/>
  <c r="G34" i="102"/>
  <c r="G35" i="102"/>
  <c r="G36" i="102"/>
  <c r="G26" i="102"/>
  <c r="G25" i="102"/>
  <c r="H12" i="102"/>
  <c r="H13" i="102"/>
  <c r="H14" i="102"/>
  <c r="H15" i="102"/>
  <c r="H16" i="102"/>
  <c r="H17" i="102"/>
  <c r="H18" i="102"/>
  <c r="H11" i="102"/>
  <c r="I37" i="112"/>
  <c r="G7" i="118"/>
  <c r="G304" i="81"/>
  <c r="G7" i="110" s="1"/>
  <c r="G305" i="81"/>
  <c r="D30" i="108"/>
  <c r="F311" i="81"/>
  <c r="D70" i="81"/>
  <c r="D69" i="81"/>
  <c r="D67" i="81"/>
  <c r="D66" i="81"/>
  <c r="F68" i="81"/>
  <c r="F65" i="81"/>
  <c r="G303" i="81"/>
  <c r="G302" i="81"/>
  <c r="G280" i="81"/>
  <c r="G289" i="81"/>
  <c r="G288" i="81"/>
  <c r="G287" i="81"/>
  <c r="G286" i="81"/>
  <c r="H13" i="112"/>
  <c r="H17" i="112" s="1"/>
  <c r="D4" i="112"/>
  <c r="D3" i="112"/>
  <c r="P31" i="104" l="1"/>
  <c r="H31" i="104"/>
  <c r="O31" i="104"/>
  <c r="G31" i="104"/>
  <c r="N31" i="104"/>
  <c r="I31" i="104"/>
  <c r="M31" i="104"/>
  <c r="Q31" i="104"/>
  <c r="L31" i="104"/>
  <c r="S31" i="104"/>
  <c r="K31" i="104"/>
  <c r="R31" i="104"/>
  <c r="J31" i="104"/>
  <c r="FT25" i="82"/>
  <c r="FU24" i="82"/>
  <c r="EX35" i="82"/>
  <c r="FV23" i="82"/>
  <c r="FV27" i="82" s="1"/>
  <c r="G20" i="100"/>
  <c r="E3" i="112"/>
  <c r="G8" i="110"/>
  <c r="G10" i="110" s="1"/>
  <c r="FU25" i="82" l="1"/>
  <c r="FV24" i="82"/>
  <c r="EY35" i="82"/>
  <c r="FW23" i="82"/>
  <c r="FW27" i="82" s="1"/>
  <c r="D6" i="105"/>
  <c r="E6" i="105" s="1"/>
  <c r="F6" i="105" s="1"/>
  <c r="G6" i="105" s="1"/>
  <c r="H6" i="105" s="1"/>
  <c r="I6" i="105" s="1"/>
  <c r="J6" i="105" s="1"/>
  <c r="K6" i="105" s="1"/>
  <c r="L6" i="105" s="1"/>
  <c r="M6" i="105" s="1"/>
  <c r="N6" i="105" s="1"/>
  <c r="O6" i="105" s="1"/>
  <c r="P6" i="105" s="1"/>
  <c r="Q6" i="105" s="1"/>
  <c r="R6" i="105" s="1"/>
  <c r="E8" i="112"/>
  <c r="D8" i="112"/>
  <c r="I23" i="112"/>
  <c r="I24" i="112"/>
  <c r="F5" i="89"/>
  <c r="I27" i="112" l="1"/>
  <c r="E4" i="112" s="1"/>
  <c r="E5" i="112" s="1"/>
  <c r="FV25" i="82"/>
  <c r="FW24" i="82"/>
  <c r="FX23" i="82"/>
  <c r="FX27" i="82" s="1"/>
  <c r="EZ35" i="82"/>
  <c r="G5" i="89"/>
  <c r="H19" i="102"/>
  <c r="FW25" i="82" l="1"/>
  <c r="FX24" i="82"/>
  <c r="FY23" i="82"/>
  <c r="FY27" i="82" s="1"/>
  <c r="FA35" i="82"/>
  <c r="C3" i="102"/>
  <c r="B6" i="100"/>
  <c r="B3" i="100"/>
  <c r="F25" i="74"/>
  <c r="H25" i="74" s="1"/>
  <c r="H28" i="74" s="1"/>
  <c r="D8" i="74" s="1"/>
  <c r="F16" i="74"/>
  <c r="H16" i="74" s="1"/>
  <c r="E25" i="74"/>
  <c r="E34" i="74"/>
  <c r="F34" i="74" s="1"/>
  <c r="H34" i="74" s="1"/>
  <c r="H37" i="74" s="1"/>
  <c r="D4" i="74" s="1"/>
  <c r="E43" i="74"/>
  <c r="F43" i="74" s="1"/>
  <c r="H43" i="74" s="1"/>
  <c r="H46" i="74" s="1"/>
  <c r="D9" i="74" s="1"/>
  <c r="H19" i="74" l="1"/>
  <c r="D3" i="74" s="1"/>
  <c r="C6" i="92" s="1"/>
  <c r="Q6" i="92"/>
  <c r="P6" i="92"/>
  <c r="H6" i="92"/>
  <c r="D6" i="92"/>
  <c r="O6" i="92"/>
  <c r="E6" i="92"/>
  <c r="N6" i="92"/>
  <c r="L6" i="92"/>
  <c r="F6" i="92"/>
  <c r="M6" i="92"/>
  <c r="G6" i="92"/>
  <c r="K6" i="92"/>
  <c r="J6" i="92"/>
  <c r="I6" i="92"/>
  <c r="FX25" i="82"/>
  <c r="FY24" i="82"/>
  <c r="FB35" i="82"/>
  <c r="FZ23" i="82"/>
  <c r="FZ27" i="82" s="1"/>
  <c r="E23" i="112"/>
  <c r="E24" i="112"/>
  <c r="D10" i="74"/>
  <c r="D23" i="114"/>
  <c r="E63" i="81" s="1"/>
  <c r="FY25" i="82" l="1"/>
  <c r="FZ24" i="82"/>
  <c r="FC35" i="82"/>
  <c r="GA23" i="82"/>
  <c r="GA27" i="82" s="1"/>
  <c r="G8" i="118"/>
  <c r="G9" i="118" s="1"/>
  <c r="C3" i="118" s="1"/>
  <c r="G306" i="81"/>
  <c r="G311" i="81"/>
  <c r="G290" i="81"/>
  <c r="C3" i="110"/>
  <c r="FZ25" i="82" l="1"/>
  <c r="GA24" i="82"/>
  <c r="FD35" i="82"/>
  <c r="GB23" i="82"/>
  <c r="GB27" i="82" s="1"/>
  <c r="F40" i="100"/>
  <c r="G40" i="100" s="1"/>
  <c r="G41" i="100" s="1"/>
  <c r="C7" i="100" s="1"/>
  <c r="F6" i="48"/>
  <c r="F5" i="48"/>
  <c r="D10" i="48"/>
  <c r="D17" i="100"/>
  <c r="E17" i="100" s="1"/>
  <c r="G17" i="100" s="1"/>
  <c r="D16" i="100"/>
  <c r="E16" i="100" s="1"/>
  <c r="G16" i="100" s="1"/>
  <c r="D14" i="100"/>
  <c r="D76" i="111" s="1"/>
  <c r="D36" i="114"/>
  <c r="D31" i="114"/>
  <c r="D30" i="114" s="1"/>
  <c r="D5" i="114"/>
  <c r="F19" i="105"/>
  <c r="G19" i="105"/>
  <c r="H19" i="105"/>
  <c r="I19" i="105"/>
  <c r="J19" i="105"/>
  <c r="K19" i="105"/>
  <c r="L19" i="105"/>
  <c r="M19" i="105"/>
  <c r="N19" i="105"/>
  <c r="O19" i="105"/>
  <c r="P19" i="105"/>
  <c r="Q19" i="105"/>
  <c r="E19" i="105"/>
  <c r="F5" i="104"/>
  <c r="G5" i="104" s="1"/>
  <c r="H5" i="104" s="1"/>
  <c r="I5" i="104" s="1"/>
  <c r="J5" i="104" s="1"/>
  <c r="K5" i="104" s="1"/>
  <c r="L5" i="104" s="1"/>
  <c r="M5" i="104" s="1"/>
  <c r="N5" i="104" s="1"/>
  <c r="O5" i="104" s="1"/>
  <c r="P5" i="104" s="1"/>
  <c r="Q5" i="104" s="1"/>
  <c r="R5" i="104" s="1"/>
  <c r="S5" i="104" s="1"/>
  <c r="D77" i="111" l="1"/>
  <c r="D15" i="100" s="1"/>
  <c r="E4" i="109"/>
  <c r="G50" i="81"/>
  <c r="G51" i="81"/>
  <c r="E15" i="82"/>
  <c r="E5" i="82" s="1"/>
  <c r="GA25" i="82"/>
  <c r="GB24" i="82"/>
  <c r="FE35" i="82"/>
  <c r="GC23" i="82"/>
  <c r="GC27" i="82" s="1"/>
  <c r="H304" i="81"/>
  <c r="H305" i="81"/>
  <c r="C8" i="100"/>
  <c r="G11" i="92"/>
  <c r="J11" i="92"/>
  <c r="F11" i="92"/>
  <c r="O11" i="92"/>
  <c r="D11" i="92"/>
  <c r="M11" i="92"/>
  <c r="H11" i="92"/>
  <c r="E11" i="92"/>
  <c r="P11" i="92"/>
  <c r="L11" i="92"/>
  <c r="Q11" i="92"/>
  <c r="I11" i="92"/>
  <c r="N11" i="92"/>
  <c r="K11" i="92"/>
  <c r="E14" i="100"/>
  <c r="G14" i="100" s="1"/>
  <c r="H287" i="81"/>
  <c r="H286" i="81"/>
  <c r="H303" i="81"/>
  <c r="H288" i="81"/>
  <c r="H302" i="81"/>
  <c r="H289" i="81"/>
  <c r="H280" i="81"/>
  <c r="G63" i="81"/>
  <c r="H112" i="81"/>
  <c r="H98" i="81"/>
  <c r="H99" i="81"/>
  <c r="H89" i="81"/>
  <c r="H85" i="81"/>
  <c r="H94" i="81"/>
  <c r="H100" i="81"/>
  <c r="H97" i="81"/>
  <c r="H88" i="81"/>
  <c r="H87" i="81"/>
  <c r="H96" i="81"/>
  <c r="H78" i="81"/>
  <c r="H86" i="81"/>
  <c r="H95" i="81"/>
  <c r="H80" i="81"/>
  <c r="H102" i="81"/>
  <c r="H107" i="81"/>
  <c r="H79" i="81"/>
  <c r="H101" i="81"/>
  <c r="D3" i="92"/>
  <c r="J3" i="104"/>
  <c r="F3" i="104"/>
  <c r="E3" i="104"/>
  <c r="F4" i="104"/>
  <c r="D6" i="103"/>
  <c r="E5" i="92"/>
  <c r="F5" i="92" l="1"/>
  <c r="G49" i="81"/>
  <c r="E14" i="109" s="1"/>
  <c r="E15" i="100"/>
  <c r="F15" i="82"/>
  <c r="F5" i="82" s="1"/>
  <c r="G15" i="82"/>
  <c r="G5" i="82" s="1"/>
  <c r="O15" i="82"/>
  <c r="O5" i="82" s="1"/>
  <c r="L15" i="82"/>
  <c r="L5" i="82" s="1"/>
  <c r="H15" i="82"/>
  <c r="H5" i="82" s="1"/>
  <c r="P15" i="82"/>
  <c r="P5" i="82" s="1"/>
  <c r="Q15" i="82"/>
  <c r="Q5" i="82" s="1"/>
  <c r="I15" i="82"/>
  <c r="I5" i="82" s="1"/>
  <c r="J15" i="82"/>
  <c r="J5" i="82" s="1"/>
  <c r="R15" i="82"/>
  <c r="R5" i="82" s="1"/>
  <c r="K15" i="82"/>
  <c r="K5" i="82" s="1"/>
  <c r="M15" i="82"/>
  <c r="M5" i="82" s="1"/>
  <c r="N15" i="82"/>
  <c r="N5" i="82" s="1"/>
  <c r="GB25" i="82"/>
  <c r="GC24" i="82"/>
  <c r="GD23" i="82"/>
  <c r="GD27" i="82" s="1"/>
  <c r="FF35" i="82"/>
  <c r="H306" i="81"/>
  <c r="H290" i="81"/>
  <c r="H90" i="81"/>
  <c r="G5" i="92" l="1"/>
  <c r="F14" i="81"/>
  <c r="FQ26" i="82"/>
  <c r="FY26" i="82"/>
  <c r="FI26" i="82"/>
  <c r="FI28" i="82" s="1"/>
  <c r="ES26" i="82"/>
  <c r="FA26" i="82"/>
  <c r="FA28" i="82" s="1"/>
  <c r="EK26" i="82"/>
  <c r="DU26" i="82"/>
  <c r="EC26" i="82"/>
  <c r="EC28" i="82" s="1"/>
  <c r="DM26" i="82"/>
  <c r="CW26" i="82"/>
  <c r="DE26" i="82"/>
  <c r="CO26" i="82"/>
  <c r="BZ26" i="82"/>
  <c r="CH26" i="82"/>
  <c r="BQ26" i="82"/>
  <c r="BQ28" i="82" s="1"/>
  <c r="BA26" i="82"/>
  <c r="BI26" i="82"/>
  <c r="AS26" i="82"/>
  <c r="AC26" i="82"/>
  <c r="AK26" i="82"/>
  <c r="EA26" i="82"/>
  <c r="CF26" i="82"/>
  <c r="FR26" i="82"/>
  <c r="FR28" i="82" s="1"/>
  <c r="FZ26" i="82"/>
  <c r="FJ26" i="82"/>
  <c r="ET26" i="82"/>
  <c r="FB26" i="82"/>
  <c r="EL26" i="82"/>
  <c r="DV26" i="82"/>
  <c r="ED26" i="82"/>
  <c r="DN26" i="82"/>
  <c r="CX26" i="82"/>
  <c r="DF26" i="82"/>
  <c r="DF28" i="82" s="1"/>
  <c r="CP26" i="82"/>
  <c r="CP28" i="82" s="1"/>
  <c r="CA26" i="82"/>
  <c r="CI26" i="82"/>
  <c r="CI28" i="82" s="1"/>
  <c r="BR26" i="82"/>
  <c r="BB26" i="82"/>
  <c r="BJ26" i="82"/>
  <c r="AT26" i="82"/>
  <c r="AD26" i="82"/>
  <c r="AL26" i="82"/>
  <c r="FW26" i="82"/>
  <c r="DS26" i="82"/>
  <c r="AY26" i="82"/>
  <c r="FS26" i="82"/>
  <c r="GA26" i="82"/>
  <c r="FK26" i="82"/>
  <c r="FK28" i="82" s="1"/>
  <c r="EU26" i="82"/>
  <c r="FC26" i="82"/>
  <c r="EM26" i="82"/>
  <c r="DW26" i="82"/>
  <c r="EE26" i="82"/>
  <c r="DO26" i="82"/>
  <c r="CY26" i="82"/>
  <c r="DG26" i="82"/>
  <c r="CQ26" i="82"/>
  <c r="CB26" i="82"/>
  <c r="BY26" i="82"/>
  <c r="BY28" i="82" s="1"/>
  <c r="BS26" i="82"/>
  <c r="BC26" i="82"/>
  <c r="BK26" i="82"/>
  <c r="BK28" i="82" s="1"/>
  <c r="AU26" i="82"/>
  <c r="AE26" i="82"/>
  <c r="AM26" i="82"/>
  <c r="EQ26" i="82"/>
  <c r="EQ28" i="82" s="1"/>
  <c r="BO26" i="82"/>
  <c r="FT26" i="82"/>
  <c r="FP26" i="82"/>
  <c r="FL26" i="82"/>
  <c r="FL28" i="82" s="1"/>
  <c r="EV26" i="82"/>
  <c r="ER26" i="82"/>
  <c r="EN26" i="82"/>
  <c r="DX26" i="82"/>
  <c r="DT26" i="82"/>
  <c r="DT28" i="82" s="1"/>
  <c r="DP26" i="82"/>
  <c r="CZ26" i="82"/>
  <c r="CV26" i="82"/>
  <c r="CR26" i="82"/>
  <c r="CC26" i="82"/>
  <c r="BX26" i="82"/>
  <c r="BT26" i="82"/>
  <c r="BD26" i="82"/>
  <c r="AZ26" i="82"/>
  <c r="AV26" i="82"/>
  <c r="AF26" i="82"/>
  <c r="AB26" i="82"/>
  <c r="FG26" i="82"/>
  <c r="DK26" i="82"/>
  <c r="DK28" i="82" s="1"/>
  <c r="AQ26" i="82"/>
  <c r="FU26" i="82"/>
  <c r="FE26" i="82"/>
  <c r="FE28" i="82" s="1"/>
  <c r="FM26" i="82"/>
  <c r="EW26" i="82"/>
  <c r="EG26" i="82"/>
  <c r="EO26" i="82"/>
  <c r="EO28" i="82" s="1"/>
  <c r="DY26" i="82"/>
  <c r="DI26" i="82"/>
  <c r="DQ26" i="82"/>
  <c r="DA26" i="82"/>
  <c r="CK26" i="82"/>
  <c r="CS26" i="82"/>
  <c r="CD26" i="82"/>
  <c r="BM26" i="82"/>
  <c r="BU26" i="82"/>
  <c r="BE26" i="82"/>
  <c r="AO26" i="82"/>
  <c r="AW26" i="82"/>
  <c r="AG26" i="82"/>
  <c r="EI26" i="82"/>
  <c r="EI28" i="82" s="1"/>
  <c r="CM26" i="82"/>
  <c r="BG26" i="82"/>
  <c r="FV26" i="82"/>
  <c r="FF26" i="82"/>
  <c r="FF28" i="82" s="1"/>
  <c r="FN26" i="82"/>
  <c r="EX26" i="82"/>
  <c r="EH26" i="82"/>
  <c r="EP26" i="82"/>
  <c r="DZ26" i="82"/>
  <c r="DJ26" i="82"/>
  <c r="DR26" i="82"/>
  <c r="DB26" i="82"/>
  <c r="CL26" i="82"/>
  <c r="CT26" i="82"/>
  <c r="CT28" i="82" s="1"/>
  <c r="CE26" i="82"/>
  <c r="BN26" i="82"/>
  <c r="BV26" i="82"/>
  <c r="BF26" i="82"/>
  <c r="AP26" i="82"/>
  <c r="AX26" i="82"/>
  <c r="AH26" i="82"/>
  <c r="EY26" i="82"/>
  <c r="CU26" i="82"/>
  <c r="AI26" i="82"/>
  <c r="GB26" i="82"/>
  <c r="FX26" i="82"/>
  <c r="FH26" i="82"/>
  <c r="FD26" i="82"/>
  <c r="EZ26" i="82"/>
  <c r="EJ26" i="82"/>
  <c r="EF26" i="82"/>
  <c r="EB26" i="82"/>
  <c r="EB28" i="82" s="1"/>
  <c r="DL26" i="82"/>
  <c r="DH26" i="82"/>
  <c r="DD26" i="82"/>
  <c r="CN26" i="82"/>
  <c r="CJ26" i="82"/>
  <c r="CG26" i="82"/>
  <c r="BP26" i="82"/>
  <c r="BL26" i="82"/>
  <c r="BH26" i="82"/>
  <c r="AR26" i="82"/>
  <c r="AN26" i="82"/>
  <c r="AJ26" i="82"/>
  <c r="FO26" i="82"/>
  <c r="DC26" i="82"/>
  <c r="BW26" i="82"/>
  <c r="E70" i="81"/>
  <c r="G70" i="81" s="1"/>
  <c r="E67" i="81"/>
  <c r="G67" i="81" s="1"/>
  <c r="F33" i="81"/>
  <c r="D5" i="79" s="1"/>
  <c r="EU28" i="82"/>
  <c r="GC25" i="82"/>
  <c r="GD24" i="82"/>
  <c r="FG35" i="82"/>
  <c r="GE23" i="82"/>
  <c r="GE27" i="82" s="1"/>
  <c r="D20" i="111"/>
  <c r="D15" i="111"/>
  <c r="G107" i="81"/>
  <c r="G102" i="81"/>
  <c r="G89" i="81"/>
  <c r="G95" i="81"/>
  <c r="G94" i="81"/>
  <c r="G100" i="81"/>
  <c r="G96" i="81"/>
  <c r="G86" i="81"/>
  <c r="G97" i="81"/>
  <c r="G87" i="81"/>
  <c r="G99" i="81"/>
  <c r="G98" i="81"/>
  <c r="G88" i="81"/>
  <c r="G85" i="81"/>
  <c r="G112" i="81"/>
  <c r="G101" i="81"/>
  <c r="G79" i="81"/>
  <c r="G80" i="81"/>
  <c r="H139" i="81"/>
  <c r="G139" i="81" s="1"/>
  <c r="H126" i="81"/>
  <c r="G126" i="81" s="1"/>
  <c r="H117" i="81"/>
  <c r="G117" i="81" s="1"/>
  <c r="H151" i="81"/>
  <c r="G151" i="81" s="1"/>
  <c r="H140" i="81"/>
  <c r="G140" i="81" s="1"/>
  <c r="H127" i="81"/>
  <c r="G127" i="81" s="1"/>
  <c r="H119" i="81"/>
  <c r="G119" i="81" s="1"/>
  <c r="H146" i="81"/>
  <c r="G146" i="81" s="1"/>
  <c r="H141" i="81"/>
  <c r="G141" i="81" s="1"/>
  <c r="H128" i="81"/>
  <c r="G128" i="81" s="1"/>
  <c r="H134" i="81"/>
  <c r="G134" i="81" s="1"/>
  <c r="H124" i="81"/>
  <c r="G124" i="81" s="1"/>
  <c r="H133" i="81"/>
  <c r="G133" i="81" s="1"/>
  <c r="H135" i="81"/>
  <c r="G135" i="81" s="1"/>
  <c r="H118" i="81"/>
  <c r="G118" i="81" s="1"/>
  <c r="H136" i="81"/>
  <c r="G136" i="81" s="1"/>
  <c r="H138" i="81"/>
  <c r="G138" i="81" s="1"/>
  <c r="H125" i="81"/>
  <c r="G125" i="81" s="1"/>
  <c r="H137" i="81"/>
  <c r="G137" i="81" s="1"/>
  <c r="I3" i="89"/>
  <c r="E3" i="89"/>
  <c r="H5" i="103"/>
  <c r="D5" i="103"/>
  <c r="H4" i="105"/>
  <c r="D4" i="105"/>
  <c r="C4" i="105"/>
  <c r="H5" i="92" l="1"/>
  <c r="E6" i="109"/>
  <c r="GC26" i="82"/>
  <c r="GC28" i="82" s="1"/>
  <c r="M16" i="82"/>
  <c r="Q16" i="82"/>
  <c r="N17" i="82"/>
  <c r="N7" i="82" s="1"/>
  <c r="F17" i="82"/>
  <c r="F7" i="82" s="1"/>
  <c r="M17" i="82"/>
  <c r="M7" i="82" s="1"/>
  <c r="E17" i="82"/>
  <c r="E7" i="82" s="1"/>
  <c r="P17" i="82"/>
  <c r="P7" i="82" s="1"/>
  <c r="L17" i="82"/>
  <c r="L7" i="82" s="1"/>
  <c r="K17" i="82"/>
  <c r="K7" i="82" s="1"/>
  <c r="R17" i="82"/>
  <c r="R7" i="82" s="1"/>
  <c r="J17" i="82"/>
  <c r="J7" i="82" s="1"/>
  <c r="Q17" i="82"/>
  <c r="Q7" i="82" s="1"/>
  <c r="I17" i="82"/>
  <c r="I7" i="82" s="1"/>
  <c r="O17" i="82"/>
  <c r="O7" i="82" s="1"/>
  <c r="G17" i="82"/>
  <c r="G7" i="82" s="1"/>
  <c r="H17" i="82"/>
  <c r="H7" i="82" s="1"/>
  <c r="K16" i="82"/>
  <c r="J16" i="82"/>
  <c r="E16" i="82"/>
  <c r="P16" i="82"/>
  <c r="O16" i="82"/>
  <c r="N16" i="82"/>
  <c r="I16" i="82"/>
  <c r="H16" i="82"/>
  <c r="G16" i="82"/>
  <c r="F16" i="82"/>
  <c r="R16" i="82"/>
  <c r="L16" i="82"/>
  <c r="AB28" i="82"/>
  <c r="DH28" i="82"/>
  <c r="ES28" i="82"/>
  <c r="DP28" i="82"/>
  <c r="FC28" i="82"/>
  <c r="DJ28" i="82"/>
  <c r="ED28" i="82"/>
  <c r="EK28" i="82"/>
  <c r="FG28" i="82"/>
  <c r="ER28" i="82"/>
  <c r="EJ28" i="82"/>
  <c r="DR28" i="82"/>
  <c r="CX28" i="82"/>
  <c r="FP28" i="82"/>
  <c r="FT28" i="82"/>
  <c r="DB28" i="82"/>
  <c r="CQ28" i="82"/>
  <c r="EE28" i="82"/>
  <c r="CE28" i="82"/>
  <c r="CY28" i="82"/>
  <c r="FD28" i="82"/>
  <c r="CD28" i="82"/>
  <c r="CO28" i="82"/>
  <c r="EY28" i="82"/>
  <c r="DM28" i="82"/>
  <c r="FX28" i="82"/>
  <c r="DU28" i="82"/>
  <c r="DG28" i="82"/>
  <c r="EA28" i="82"/>
  <c r="DN28" i="82"/>
  <c r="CW28" i="82"/>
  <c r="FY28" i="82"/>
  <c r="DA28" i="82"/>
  <c r="FV28" i="82"/>
  <c r="EP28" i="82"/>
  <c r="EV28" i="82"/>
  <c r="FS28" i="82"/>
  <c r="EF28" i="82"/>
  <c r="EX28" i="82"/>
  <c r="DL28" i="82"/>
  <c r="CG28" i="82"/>
  <c r="FB28" i="82"/>
  <c r="CU28" i="82"/>
  <c r="FN28" i="82"/>
  <c r="BW28" i="82"/>
  <c r="CV28" i="82"/>
  <c r="FJ28" i="82"/>
  <c r="DZ28" i="82"/>
  <c r="FO28" i="82"/>
  <c r="DD28" i="82"/>
  <c r="EZ28" i="82"/>
  <c r="ET28" i="82"/>
  <c r="DX28" i="82"/>
  <c r="EG28" i="82"/>
  <c r="GA28" i="82"/>
  <c r="FM28" i="82"/>
  <c r="EH28" i="82"/>
  <c r="FW28" i="82"/>
  <c r="FH28" i="82"/>
  <c r="CZ28" i="82"/>
  <c r="CL28" i="82"/>
  <c r="FU28" i="82"/>
  <c r="DO28" i="82"/>
  <c r="DQ28" i="82"/>
  <c r="DY28" i="82"/>
  <c r="EL28" i="82"/>
  <c r="EM28" i="82"/>
  <c r="DS28" i="82"/>
  <c r="DI28" i="82"/>
  <c r="DE28" i="82"/>
  <c r="FQ28" i="82"/>
  <c r="DV28" i="82"/>
  <c r="EW28" i="82"/>
  <c r="DW28" i="82"/>
  <c r="BT28" i="82"/>
  <c r="EN28" i="82"/>
  <c r="CH28" i="82"/>
  <c r="CB28" i="82"/>
  <c r="BJ28" i="82"/>
  <c r="BO28" i="82"/>
  <c r="DC28" i="82"/>
  <c r="CR28" i="82"/>
  <c r="BZ28" i="82"/>
  <c r="BD28" i="82"/>
  <c r="CC28" i="82"/>
  <c r="CM28" i="82"/>
  <c r="BR28" i="82"/>
  <c r="BI28" i="82"/>
  <c r="CS28" i="82"/>
  <c r="BN28" i="82"/>
  <c r="CJ28" i="82"/>
  <c r="BM28" i="82"/>
  <c r="BH28" i="82"/>
  <c r="CN28" i="82"/>
  <c r="BL28" i="82"/>
  <c r="CF28" i="82"/>
  <c r="CA28" i="82"/>
  <c r="BV28" i="82"/>
  <c r="BC28" i="82"/>
  <c r="BU28" i="82"/>
  <c r="BP28" i="82"/>
  <c r="CK28" i="82"/>
  <c r="BE28" i="82"/>
  <c r="BS28" i="82"/>
  <c r="BX28" i="82"/>
  <c r="AT28" i="82"/>
  <c r="AU28" i="82"/>
  <c r="AW28" i="82"/>
  <c r="AC28" i="82"/>
  <c r="BF28" i="82"/>
  <c r="AP28" i="82"/>
  <c r="AR28" i="82"/>
  <c r="AZ28" i="82"/>
  <c r="AF28" i="82"/>
  <c r="AE28" i="82"/>
  <c r="AY28" i="82"/>
  <c r="BA28" i="82"/>
  <c r="AJ28" i="82"/>
  <c r="AN28" i="82"/>
  <c r="FZ28" i="82"/>
  <c r="BB28" i="82"/>
  <c r="BG28" i="82"/>
  <c r="AV28" i="82"/>
  <c r="AI28" i="82"/>
  <c r="GB28" i="82"/>
  <c r="AD28" i="82"/>
  <c r="AG28" i="82"/>
  <c r="AQ28" i="82"/>
  <c r="AK28" i="82"/>
  <c r="AL28" i="82"/>
  <c r="AH28" i="82"/>
  <c r="AO28" i="82"/>
  <c r="AX28" i="82"/>
  <c r="AS28" i="82"/>
  <c r="AM28" i="82"/>
  <c r="GD25" i="82"/>
  <c r="GD26" i="82" s="1"/>
  <c r="GE24" i="82"/>
  <c r="FH35" i="82"/>
  <c r="GF23" i="82"/>
  <c r="GF27" i="82" s="1"/>
  <c r="G78" i="81"/>
  <c r="H81" i="81"/>
  <c r="E5" i="109" l="1"/>
  <c r="I5" i="92"/>
  <c r="H240" i="81"/>
  <c r="M6" i="82"/>
  <c r="M8" i="82" s="1"/>
  <c r="O6" i="82"/>
  <c r="O8" i="82" s="1"/>
  <c r="L6" i="82"/>
  <c r="L8" i="82" s="1"/>
  <c r="G6" i="82"/>
  <c r="G8" i="82" s="1"/>
  <c r="I6" i="82"/>
  <c r="I8" i="82" s="1"/>
  <c r="E6" i="82"/>
  <c r="E8" i="82" s="1"/>
  <c r="F6" i="82"/>
  <c r="F8" i="82" s="1"/>
  <c r="H6" i="82"/>
  <c r="H8" i="82" s="1"/>
  <c r="K6" i="82"/>
  <c r="N6" i="82"/>
  <c r="N8" i="82" s="1"/>
  <c r="Q6" i="82"/>
  <c r="Q8" i="82" s="1"/>
  <c r="P6" i="82"/>
  <c r="P8" i="82" s="1"/>
  <c r="J6" i="82"/>
  <c r="J8" i="82" s="1"/>
  <c r="F32" i="81"/>
  <c r="GD28" i="82"/>
  <c r="GE25" i="82"/>
  <c r="GF24" i="82"/>
  <c r="GG23" i="82"/>
  <c r="GG27" i="82" s="1"/>
  <c r="FI35" i="82"/>
  <c r="H5" i="89"/>
  <c r="J5" i="92" l="1"/>
  <c r="G240" i="81"/>
  <c r="GE26" i="82"/>
  <c r="GE28" i="82" s="1"/>
  <c r="K8" i="82"/>
  <c r="I34" i="104"/>
  <c r="H20" i="89"/>
  <c r="F20" i="89"/>
  <c r="G34" i="104"/>
  <c r="P34" i="104"/>
  <c r="E20" i="89"/>
  <c r="F34" i="104"/>
  <c r="D7" i="103" s="1"/>
  <c r="K34" i="104"/>
  <c r="M34" i="104"/>
  <c r="Q34" i="104"/>
  <c r="I20" i="89"/>
  <c r="J34" i="104"/>
  <c r="R34" i="104"/>
  <c r="H34" i="104"/>
  <c r="G20" i="89"/>
  <c r="O34" i="104"/>
  <c r="N34" i="104"/>
  <c r="GF25" i="82"/>
  <c r="GG24" i="82"/>
  <c r="FJ35" i="82"/>
  <c r="GH23" i="82"/>
  <c r="GH27" i="82" s="1"/>
  <c r="I5" i="89"/>
  <c r="E18" i="100"/>
  <c r="G18" i="100" s="1"/>
  <c r="D7" i="48"/>
  <c r="D134" i="127" s="1"/>
  <c r="F13" i="81" s="1"/>
  <c r="K5" i="92" l="1"/>
  <c r="GF26" i="82"/>
  <c r="GF28" i="82" s="1"/>
  <c r="L34" i="104"/>
  <c r="H11" i="89"/>
  <c r="I26" i="104" s="1"/>
  <c r="H6" i="89"/>
  <c r="F6" i="89"/>
  <c r="I6" i="89"/>
  <c r="J7" i="104" s="1"/>
  <c r="G6" i="89"/>
  <c r="E6" i="89"/>
  <c r="GG25" i="82"/>
  <c r="GH24" i="82"/>
  <c r="FK35" i="82"/>
  <c r="GI23" i="82"/>
  <c r="GI27" i="82" s="1"/>
  <c r="D9" i="89"/>
  <c r="F9" i="89"/>
  <c r="E9" i="89"/>
  <c r="D11" i="89"/>
  <c r="G9" i="89"/>
  <c r="E11" i="89"/>
  <c r="F11" i="89"/>
  <c r="G11" i="89"/>
  <c r="H9" i="89"/>
  <c r="D6" i="89"/>
  <c r="H311" i="81"/>
  <c r="D12" i="89"/>
  <c r="I9" i="89"/>
  <c r="J9" i="89"/>
  <c r="I11" i="89"/>
  <c r="H12" i="89"/>
  <c r="I12" i="89"/>
  <c r="G12" i="89"/>
  <c r="E12" i="89"/>
  <c r="F12" i="89"/>
  <c r="J5" i="89"/>
  <c r="D5" i="74"/>
  <c r="L5" i="92" l="1"/>
  <c r="J6" i="89"/>
  <c r="J20" i="89"/>
  <c r="GG26" i="82"/>
  <c r="GG28" i="82" s="1"/>
  <c r="J21" i="104"/>
  <c r="J10" i="104"/>
  <c r="G12" i="104"/>
  <c r="E12" i="104"/>
  <c r="I21" i="104"/>
  <c r="H10" i="104"/>
  <c r="F21" i="104"/>
  <c r="F12" i="104"/>
  <c r="G10" i="104"/>
  <c r="F10" i="104"/>
  <c r="J12" i="104"/>
  <c r="I10" i="104"/>
  <c r="E10" i="104"/>
  <c r="K10" i="104"/>
  <c r="H12" i="104"/>
  <c r="H21" i="104"/>
  <c r="G21" i="104"/>
  <c r="I12" i="104"/>
  <c r="G13" i="104"/>
  <c r="H13" i="104"/>
  <c r="I13" i="104"/>
  <c r="J13" i="104"/>
  <c r="E13" i="104"/>
  <c r="F13" i="104"/>
  <c r="E21" i="104"/>
  <c r="H24" i="104"/>
  <c r="J24" i="104"/>
  <c r="F26" i="104"/>
  <c r="G27" i="104"/>
  <c r="F27" i="104"/>
  <c r="G24" i="104"/>
  <c r="F24" i="104"/>
  <c r="J26" i="104"/>
  <c r="H27" i="104"/>
  <c r="I24" i="104"/>
  <c r="J27" i="104"/>
  <c r="H26" i="104"/>
  <c r="K24" i="104"/>
  <c r="I27" i="104"/>
  <c r="G26" i="104"/>
  <c r="I7" i="104"/>
  <c r="H7" i="104"/>
  <c r="F7" i="104"/>
  <c r="G7" i="104"/>
  <c r="E7" i="104"/>
  <c r="J12" i="89"/>
  <c r="GH25" i="82"/>
  <c r="GH26" i="82" s="1"/>
  <c r="GI24" i="82"/>
  <c r="GJ23" i="82"/>
  <c r="GJ27" i="82" s="1"/>
  <c r="FL35" i="82"/>
  <c r="E27" i="104"/>
  <c r="E26" i="104"/>
  <c r="E24" i="104"/>
  <c r="K9" i="89"/>
  <c r="J11" i="89"/>
  <c r="K5" i="89"/>
  <c r="E18" i="102"/>
  <c r="E17" i="102"/>
  <c r="E16" i="102"/>
  <c r="E15" i="102"/>
  <c r="E14" i="102"/>
  <c r="E13" i="102"/>
  <c r="E12" i="102"/>
  <c r="E11" i="102"/>
  <c r="D37" i="102"/>
  <c r="D19" i="102"/>
  <c r="E19" i="100" s="1"/>
  <c r="G19" i="100" s="1"/>
  <c r="M5" i="92" l="1"/>
  <c r="K20" i="89"/>
  <c r="K6" i="89"/>
  <c r="K12" i="104"/>
  <c r="L10" i="104"/>
  <c r="K13" i="104"/>
  <c r="K7" i="104"/>
  <c r="K21" i="104"/>
  <c r="GH28" i="82"/>
  <c r="L24" i="104"/>
  <c r="K26" i="104"/>
  <c r="K27" i="104"/>
  <c r="GI25" i="82"/>
  <c r="GI26" i="82" s="1"/>
  <c r="GJ24" i="82"/>
  <c r="GK23" i="82"/>
  <c r="GK27" i="82" s="1"/>
  <c r="FM35" i="82"/>
  <c r="L9" i="89"/>
  <c r="K11" i="89"/>
  <c r="K12" i="89"/>
  <c r="L5" i="89"/>
  <c r="G37" i="102"/>
  <c r="C4" i="102" s="1"/>
  <c r="N5" i="92" l="1"/>
  <c r="L20" i="89"/>
  <c r="L6" i="89"/>
  <c r="L12" i="104"/>
  <c r="M10" i="104"/>
  <c r="L13" i="104"/>
  <c r="L21" i="104"/>
  <c r="L7" i="104"/>
  <c r="GI28" i="82"/>
  <c r="L27" i="104"/>
  <c r="L26" i="104"/>
  <c r="M24" i="104"/>
  <c r="GJ25" i="82"/>
  <c r="GJ26" i="82" s="1"/>
  <c r="GK24" i="82"/>
  <c r="FN35" i="82"/>
  <c r="GL23" i="82"/>
  <c r="GL27" i="82" s="1"/>
  <c r="M9" i="89"/>
  <c r="L11" i="89"/>
  <c r="L12" i="89"/>
  <c r="I15" i="89"/>
  <c r="E15" i="89"/>
  <c r="J15" i="89"/>
  <c r="K15" i="89"/>
  <c r="F15" i="89"/>
  <c r="L15" i="89"/>
  <c r="D15" i="89"/>
  <c r="G15" i="89"/>
  <c r="H15" i="89"/>
  <c r="M5" i="89"/>
  <c r="O5" i="92" l="1"/>
  <c r="M20" i="89"/>
  <c r="M6" i="89"/>
  <c r="N10" i="104"/>
  <c r="M12" i="104"/>
  <c r="M13" i="104"/>
  <c r="M21" i="104"/>
  <c r="M7" i="104"/>
  <c r="E15" i="104"/>
  <c r="G15" i="104"/>
  <c r="L15" i="104"/>
  <c r="K15" i="104"/>
  <c r="M15" i="104"/>
  <c r="F15" i="104"/>
  <c r="J15" i="104"/>
  <c r="I15" i="104"/>
  <c r="H15" i="104"/>
  <c r="GJ28" i="82"/>
  <c r="J29" i="104"/>
  <c r="M26" i="104"/>
  <c r="H29" i="104"/>
  <c r="G29" i="104"/>
  <c r="L29" i="104"/>
  <c r="I29" i="104"/>
  <c r="M27" i="104"/>
  <c r="N24" i="104"/>
  <c r="K29" i="104"/>
  <c r="M29" i="104"/>
  <c r="F29" i="104"/>
  <c r="M15" i="89"/>
  <c r="GK25" i="82"/>
  <c r="GK26" i="82" s="1"/>
  <c r="GL24" i="82"/>
  <c r="FO35" i="82"/>
  <c r="GM23" i="82"/>
  <c r="GM27" i="82" s="1"/>
  <c r="N9" i="89"/>
  <c r="M11" i="89"/>
  <c r="M12" i="89"/>
  <c r="E29" i="104"/>
  <c r="N5" i="89"/>
  <c r="C5" i="102"/>
  <c r="P5" i="92" l="1"/>
  <c r="N20" i="89"/>
  <c r="N6" i="89"/>
  <c r="N12" i="104"/>
  <c r="O10" i="104"/>
  <c r="N13" i="104"/>
  <c r="N21" i="104"/>
  <c r="N15" i="104"/>
  <c r="GK28" i="82"/>
  <c r="N29" i="104"/>
  <c r="N26" i="104"/>
  <c r="O24" i="104"/>
  <c r="N27" i="104"/>
  <c r="N7" i="104"/>
  <c r="GL25" i="82"/>
  <c r="GL26" i="82" s="1"/>
  <c r="GM24" i="82"/>
  <c r="FP35" i="82"/>
  <c r="O9" i="89"/>
  <c r="N11" i="89"/>
  <c r="N12" i="89"/>
  <c r="N15" i="89"/>
  <c r="O5" i="89"/>
  <c r="G312" i="81"/>
  <c r="D11" i="111"/>
  <c r="Q5" i="92" l="1"/>
  <c r="O20" i="89"/>
  <c r="O6" i="89"/>
  <c r="E71" i="81"/>
  <c r="O12" i="104"/>
  <c r="P10" i="104"/>
  <c r="O13" i="104"/>
  <c r="O21" i="104"/>
  <c r="O15" i="104"/>
  <c r="GL28" i="82"/>
  <c r="O26" i="104"/>
  <c r="O27" i="104"/>
  <c r="P24" i="104"/>
  <c r="O29" i="104"/>
  <c r="O7" i="104"/>
  <c r="GM25" i="82"/>
  <c r="GM26" i="82" s="1"/>
  <c r="P9" i="89"/>
  <c r="O11" i="89"/>
  <c r="O12" i="89"/>
  <c r="O15" i="89"/>
  <c r="P5" i="89"/>
  <c r="G296" i="81"/>
  <c r="G295" i="81"/>
  <c r="P20" i="89" l="1"/>
  <c r="P6" i="89"/>
  <c r="P12" i="104"/>
  <c r="Q10" i="104"/>
  <c r="P13" i="104"/>
  <c r="P21" i="104"/>
  <c r="P15" i="104"/>
  <c r="GM28" i="82"/>
  <c r="P27" i="104"/>
  <c r="P26" i="104"/>
  <c r="P29" i="104"/>
  <c r="Q24" i="104"/>
  <c r="P7" i="104"/>
  <c r="Q9" i="89"/>
  <c r="P11" i="89"/>
  <c r="P12" i="89"/>
  <c r="P15" i="89"/>
  <c r="Q5" i="89"/>
  <c r="H296" i="81"/>
  <c r="G297" i="81"/>
  <c r="H295" i="81"/>
  <c r="E31" i="81"/>
  <c r="H147" i="81"/>
  <c r="E52" i="81"/>
  <c r="E43" i="81"/>
  <c r="E37" i="81"/>
  <c r="G279" i="81"/>
  <c r="G278" i="81"/>
  <c r="G277" i="81"/>
  <c r="G276" i="81"/>
  <c r="G275" i="81"/>
  <c r="G274" i="81"/>
  <c r="H274" i="81" s="1"/>
  <c r="G249" i="81"/>
  <c r="G267" i="81"/>
  <c r="Q20" i="89" l="1"/>
  <c r="Q6" i="89"/>
  <c r="R6" i="82"/>
  <c r="R8" i="82" s="1"/>
  <c r="F41" i="81"/>
  <c r="Q12" i="104"/>
  <c r="R10" i="104"/>
  <c r="Q13" i="104"/>
  <c r="Q21" i="104"/>
  <c r="Q15" i="104"/>
  <c r="Q29" i="104"/>
  <c r="Q27" i="104"/>
  <c r="Q26" i="104"/>
  <c r="R24" i="104"/>
  <c r="Q7" i="104"/>
  <c r="R9" i="89"/>
  <c r="Q11" i="89"/>
  <c r="Q12" i="89"/>
  <c r="Q15" i="89"/>
  <c r="R5" i="89"/>
  <c r="H297" i="81"/>
  <c r="H103" i="81"/>
  <c r="H142" i="81"/>
  <c r="H129" i="81"/>
  <c r="H120" i="81"/>
  <c r="G281" i="81"/>
  <c r="R6" i="89" l="1"/>
  <c r="S34" i="104"/>
  <c r="R20" i="89"/>
  <c r="F38" i="81"/>
  <c r="F39" i="81"/>
  <c r="F40" i="81"/>
  <c r="F34" i="81"/>
  <c r="E69" i="81"/>
  <c r="G69" i="81" s="1"/>
  <c r="G68" i="81" s="1"/>
  <c r="S10" i="104"/>
  <c r="R12" i="104"/>
  <c r="R13" i="104"/>
  <c r="R21" i="104"/>
  <c r="R15" i="104"/>
  <c r="R29" i="104"/>
  <c r="S24" i="104"/>
  <c r="R27" i="104"/>
  <c r="R26" i="104"/>
  <c r="R7" i="104"/>
  <c r="R11" i="89"/>
  <c r="R12" i="89"/>
  <c r="R15" i="89"/>
  <c r="H204" i="81"/>
  <c r="G204" i="81" s="1"/>
  <c r="F204" i="81" s="1"/>
  <c r="D8" i="79" l="1"/>
  <c r="G8" i="79" s="1"/>
  <c r="D6" i="79"/>
  <c r="G6" i="79" s="1"/>
  <c r="E68" i="81"/>
  <c r="S12" i="104"/>
  <c r="S13" i="104"/>
  <c r="S21" i="104"/>
  <c r="S15" i="104"/>
  <c r="S29" i="104"/>
  <c r="S27" i="104"/>
  <c r="S26" i="104"/>
  <c r="S7" i="104"/>
  <c r="H161" i="81"/>
  <c r="H171" i="81"/>
  <c r="G171" i="81" s="1"/>
  <c r="F171" i="81" s="1"/>
  <c r="H174" i="81"/>
  <c r="G174" i="81" s="1"/>
  <c r="F174" i="81" s="1"/>
  <c r="H163" i="81"/>
  <c r="G163" i="81" s="1"/>
  <c r="F163" i="81" s="1"/>
  <c r="H164" i="81"/>
  <c r="G164" i="81" s="1"/>
  <c r="F164" i="81" s="1"/>
  <c r="H156" i="81"/>
  <c r="H162" i="81"/>
  <c r="G162" i="81" s="1"/>
  <c r="F162" i="81" s="1"/>
  <c r="H189" i="81"/>
  <c r="G189" i="81" s="1"/>
  <c r="F189" i="81" s="1"/>
  <c r="H175" i="81"/>
  <c r="G175" i="81" s="1"/>
  <c r="F175" i="81" s="1"/>
  <c r="H169" i="81"/>
  <c r="G169" i="81" s="1"/>
  <c r="F169" i="81" s="1"/>
  <c r="H182" i="81"/>
  <c r="G182" i="81" s="1"/>
  <c r="F182" i="81" s="1"/>
  <c r="H170" i="81"/>
  <c r="G170" i="81" s="1"/>
  <c r="F170" i="81" s="1"/>
  <c r="H191" i="81"/>
  <c r="G191" i="81" s="1"/>
  <c r="F191" i="81" s="1"/>
  <c r="H183" i="81"/>
  <c r="G183" i="81" s="1"/>
  <c r="F183" i="81" s="1"/>
  <c r="H190" i="81"/>
  <c r="G190" i="81" s="1"/>
  <c r="F190" i="81" s="1"/>
  <c r="H181" i="81"/>
  <c r="H172" i="81"/>
  <c r="G172" i="81" s="1"/>
  <c r="F172" i="81" s="1"/>
  <c r="H188" i="81"/>
  <c r="H173" i="81"/>
  <c r="G173" i="81" s="1"/>
  <c r="F173" i="81" s="1"/>
  <c r="H176" i="81"/>
  <c r="G176" i="81" s="1"/>
  <c r="F176" i="81" s="1"/>
  <c r="H225" i="81"/>
  <c r="H205" i="81"/>
  <c r="G205" i="81" s="1"/>
  <c r="F205" i="81" s="1"/>
  <c r="H211" i="81"/>
  <c r="G211" i="81" s="1"/>
  <c r="F211" i="81" s="1"/>
  <c r="H217" i="81"/>
  <c r="H212" i="81"/>
  <c r="G212" i="81" s="1"/>
  <c r="F212" i="81" s="1"/>
  <c r="H220" i="81"/>
  <c r="G220" i="81" s="1"/>
  <c r="F220" i="81" s="1"/>
  <c r="H218" i="81"/>
  <c r="G218" i="81" s="1"/>
  <c r="F218" i="81" s="1"/>
  <c r="H226" i="81"/>
  <c r="G226" i="81" s="1"/>
  <c r="F226" i="81" s="1"/>
  <c r="H231" i="81"/>
  <c r="H232" i="81"/>
  <c r="G232" i="81" s="1"/>
  <c r="F232" i="81" s="1"/>
  <c r="H219" i="81"/>
  <c r="G219" i="81" s="1"/>
  <c r="F219" i="81" s="1"/>
  <c r="H210" i="81"/>
  <c r="F78" i="81"/>
  <c r="G40" i="81"/>
  <c r="G38" i="81"/>
  <c r="G39" i="81"/>
  <c r="H267" i="81"/>
  <c r="F139" i="81"/>
  <c r="F126" i="81"/>
  <c r="H275" i="81"/>
  <c r="F127" i="81"/>
  <c r="F138" i="81"/>
  <c r="F119" i="81"/>
  <c r="F141" i="81"/>
  <c r="F134" i="81"/>
  <c r="F128" i="81"/>
  <c r="F125" i="81"/>
  <c r="F135" i="81"/>
  <c r="F137" i="81"/>
  <c r="F140" i="81"/>
  <c r="F136" i="81"/>
  <c r="F118" i="81"/>
  <c r="F18" i="104" l="1"/>
  <c r="F32" i="104"/>
  <c r="G210" i="81"/>
  <c r="F210" i="81" s="1"/>
  <c r="H213" i="81"/>
  <c r="F54" i="81" s="1"/>
  <c r="D9" i="79" s="1"/>
  <c r="G9" i="79" s="1"/>
  <c r="G188" i="81"/>
  <c r="H192" i="81"/>
  <c r="G217" i="81"/>
  <c r="F217" i="81" s="1"/>
  <c r="H221" i="81"/>
  <c r="F55" i="81" s="1"/>
  <c r="G161" i="81"/>
  <c r="F161" i="81" s="1"/>
  <c r="H165" i="81"/>
  <c r="G181" i="81"/>
  <c r="F181" i="81" s="1"/>
  <c r="H184" i="81"/>
  <c r="G231" i="81"/>
  <c r="F231" i="81" s="1"/>
  <c r="H233" i="81"/>
  <c r="F57" i="81" s="1"/>
  <c r="H206" i="81"/>
  <c r="F53" i="81" s="1"/>
  <c r="G156" i="81"/>
  <c r="F156" i="81" s="1"/>
  <c r="H157" i="81"/>
  <c r="G225" i="81"/>
  <c r="F225" i="81" s="1"/>
  <c r="H227" i="81"/>
  <c r="F56" i="81" s="1"/>
  <c r="H152" i="81"/>
  <c r="F124" i="81"/>
  <c r="G129" i="81"/>
  <c r="G142" i="81"/>
  <c r="F133" i="81"/>
  <c r="F117" i="81"/>
  <c r="G120" i="81"/>
  <c r="G147" i="81"/>
  <c r="F146" i="81"/>
  <c r="F151" i="81"/>
  <c r="G152" i="81"/>
  <c r="F48" i="81" l="1"/>
  <c r="G48" i="81" s="1"/>
  <c r="F47" i="81"/>
  <c r="F44" i="81"/>
  <c r="G44" i="81" s="1"/>
  <c r="F45" i="81"/>
  <c r="F52" i="81"/>
  <c r="F42" i="81"/>
  <c r="F37" i="81" s="1"/>
  <c r="K18" i="104"/>
  <c r="L18" i="104"/>
  <c r="Q18" i="104"/>
  <c r="I18" i="104"/>
  <c r="R18" i="104"/>
  <c r="J18" i="104"/>
  <c r="P18" i="104"/>
  <c r="O18" i="104"/>
  <c r="G18" i="104"/>
  <c r="S18" i="104"/>
  <c r="M18" i="104"/>
  <c r="N18" i="104"/>
  <c r="H18" i="104"/>
  <c r="R32" i="104"/>
  <c r="N32" i="104"/>
  <c r="H32" i="104"/>
  <c r="K32" i="104"/>
  <c r="I32" i="104"/>
  <c r="O32" i="104"/>
  <c r="S32" i="104"/>
  <c r="L32" i="104"/>
  <c r="M32" i="104"/>
  <c r="P32" i="104"/>
  <c r="J32" i="104"/>
  <c r="G32" i="104"/>
  <c r="Q32" i="104"/>
  <c r="G55" i="81"/>
  <c r="G57" i="81"/>
  <c r="G54" i="81"/>
  <c r="G56" i="81"/>
  <c r="G233" i="81"/>
  <c r="G221" i="81"/>
  <c r="G206" i="81"/>
  <c r="G227" i="81"/>
  <c r="G165" i="81"/>
  <c r="G157" i="81"/>
  <c r="G213" i="81"/>
  <c r="G53" i="81"/>
  <c r="F188" i="81"/>
  <c r="G192" i="81"/>
  <c r="H108" i="81"/>
  <c r="G45" i="81" l="1"/>
  <c r="G42" i="81"/>
  <c r="F35" i="81"/>
  <c r="G52" i="81"/>
  <c r="E15" i="109" s="1"/>
  <c r="D5" i="105" l="1"/>
  <c r="E5" i="105" s="1"/>
  <c r="F5" i="105" s="1"/>
  <c r="G5" i="105" s="1"/>
  <c r="H5" i="105" s="1"/>
  <c r="I5" i="105" s="1"/>
  <c r="J5" i="105" s="1"/>
  <c r="K5" i="105" s="1"/>
  <c r="L5" i="105" s="1"/>
  <c r="G32" i="81" l="1"/>
  <c r="M5" i="105"/>
  <c r="N5" i="105" s="1"/>
  <c r="O5" i="105" s="1"/>
  <c r="P5" i="105" s="1"/>
  <c r="Q5" i="105" s="1"/>
  <c r="Q13" i="105" l="1"/>
  <c r="P13" i="105"/>
  <c r="O13" i="105"/>
  <c r="N13" i="105"/>
  <c r="M13" i="105"/>
  <c r="L13" i="105"/>
  <c r="K13" i="105"/>
  <c r="J13" i="105"/>
  <c r="I13" i="105"/>
  <c r="H13" i="105"/>
  <c r="G13" i="105"/>
  <c r="C24" i="104"/>
  <c r="C23" i="104"/>
  <c r="C22" i="104"/>
  <c r="C21" i="104"/>
  <c r="G4" i="104"/>
  <c r="H4" i="104" s="1"/>
  <c r="I4" i="104" s="1"/>
  <c r="J4" i="104" s="1"/>
  <c r="K4" i="104" s="1"/>
  <c r="L4" i="104" s="1"/>
  <c r="M4" i="104" s="1"/>
  <c r="N4" i="104" s="1"/>
  <c r="O4" i="104" s="1"/>
  <c r="P4" i="104" s="1"/>
  <c r="Q4" i="104" s="1"/>
  <c r="R4" i="104" s="1"/>
  <c r="S4" i="104" s="1"/>
  <c r="E6" i="103"/>
  <c r="F6" i="103" s="1"/>
  <c r="G6" i="103" s="1"/>
  <c r="H6" i="103" s="1"/>
  <c r="I6" i="103" s="1"/>
  <c r="J6" i="103" s="1"/>
  <c r="K6" i="103" s="1"/>
  <c r="L6" i="103" s="1"/>
  <c r="M6" i="103" s="1"/>
  <c r="N6" i="103" s="1"/>
  <c r="O6" i="103" s="1"/>
  <c r="P6" i="103" s="1"/>
  <c r="Q6" i="103" s="1"/>
  <c r="G245" i="81" l="1"/>
  <c r="H245" i="81" s="1"/>
  <c r="F61" i="81" s="1"/>
  <c r="G61" i="81" l="1"/>
  <c r="F60" i="81"/>
  <c r="F58" i="81" s="1"/>
  <c r="G268" i="81"/>
  <c r="G256" i="81"/>
  <c r="G255" i="81"/>
  <c r="G254" i="81"/>
  <c r="G253" i="81"/>
  <c r="G252" i="81"/>
  <c r="G251" i="81"/>
  <c r="G250" i="81"/>
  <c r="G269" i="81" l="1"/>
  <c r="G257" i="81"/>
  <c r="E64" i="81" l="1"/>
  <c r="E62" i="81"/>
  <c r="E60" i="81" s="1"/>
  <c r="G60" i="81" l="1"/>
  <c r="E58" i="81"/>
  <c r="G62" i="81"/>
  <c r="G64" i="81"/>
  <c r="B28" i="102"/>
  <c r="B29" i="102" s="1"/>
  <c r="B30" i="102" s="1"/>
  <c r="B31" i="102" s="1"/>
  <c r="B32" i="102" s="1"/>
  <c r="B26" i="102"/>
  <c r="G21" i="100"/>
  <c r="C3" i="100" s="1"/>
  <c r="G58" i="81" l="1"/>
  <c r="Q7" i="89"/>
  <c r="I7" i="89"/>
  <c r="P7" i="89"/>
  <c r="H7" i="89"/>
  <c r="O7" i="89"/>
  <c r="G7" i="89"/>
  <c r="N7" i="89"/>
  <c r="F7" i="89"/>
  <c r="D7" i="89"/>
  <c r="M7" i="89"/>
  <c r="E7" i="89"/>
  <c r="L7" i="89"/>
  <c r="R7" i="89"/>
  <c r="J7" i="89"/>
  <c r="K7" i="89"/>
  <c r="D11" i="79"/>
  <c r="D10" i="36" s="1"/>
  <c r="D6" i="85"/>
  <c r="E3" i="92"/>
  <c r="F3" i="92" s="1"/>
  <c r="G3" i="92" s="1"/>
  <c r="H3" i="92" s="1"/>
  <c r="I3" i="92" s="1"/>
  <c r="J3" i="92" s="1"/>
  <c r="K3" i="92" s="1"/>
  <c r="L3" i="92" s="1"/>
  <c r="M3" i="92" s="1"/>
  <c r="N3" i="92" s="1"/>
  <c r="O3" i="92" s="1"/>
  <c r="P3" i="92" s="1"/>
  <c r="Q3" i="92" s="1"/>
  <c r="B7" i="89"/>
  <c r="K8" i="104" l="1"/>
  <c r="K22" i="104"/>
  <c r="H8" i="104"/>
  <c r="H22" i="104"/>
  <c r="P22" i="104"/>
  <c r="P8" i="104"/>
  <c r="L22" i="104"/>
  <c r="L8" i="104"/>
  <c r="I8" i="104"/>
  <c r="I22" i="104"/>
  <c r="G22" i="104"/>
  <c r="G8" i="104"/>
  <c r="O22" i="104"/>
  <c r="O8" i="104"/>
  <c r="S22" i="104"/>
  <c r="S8" i="104"/>
  <c r="Q8" i="104"/>
  <c r="Q22" i="104"/>
  <c r="F22" i="104"/>
  <c r="F8" i="104"/>
  <c r="N22" i="104"/>
  <c r="N8" i="104"/>
  <c r="J8" i="104"/>
  <c r="J22" i="104"/>
  <c r="R8" i="104"/>
  <c r="R22" i="104"/>
  <c r="E22" i="104"/>
  <c r="E8" i="104"/>
  <c r="M22" i="104"/>
  <c r="M8" i="104"/>
  <c r="G33" i="81"/>
  <c r="F99" i="81"/>
  <c r="F100" i="81"/>
  <c r="G35" i="81"/>
  <c r="F101" i="81"/>
  <c r="F102" i="81"/>
  <c r="F86" i="81"/>
  <c r="F87" i="81"/>
  <c r="F88" i="81"/>
  <c r="F89" i="81"/>
  <c r="F95" i="81"/>
  <c r="F96" i="81"/>
  <c r="F97" i="81"/>
  <c r="F98" i="81"/>
  <c r="G34" i="81"/>
  <c r="F79" i="81"/>
  <c r="F80" i="81"/>
  <c r="H249" i="81"/>
  <c r="H277" i="81"/>
  <c r="H253" i="81"/>
  <c r="H276" i="81"/>
  <c r="H268" i="81"/>
  <c r="H279" i="81"/>
  <c r="H250" i="81"/>
  <c r="H278" i="81"/>
  <c r="H251" i="81"/>
  <c r="H256" i="81"/>
  <c r="H254" i="81"/>
  <c r="H255" i="81"/>
  <c r="H252" i="81"/>
  <c r="B8" i="89"/>
  <c r="B9" i="89" s="1"/>
  <c r="B10" i="89" s="1"/>
  <c r="D9" i="36" l="1"/>
  <c r="D9" i="23" s="1"/>
  <c r="D5" i="85"/>
  <c r="B11" i="89"/>
  <c r="B12" i="89" s="1"/>
  <c r="B13" i="89" s="1"/>
  <c r="B15" i="89" s="1"/>
  <c r="B17" i="89" s="1"/>
  <c r="B18" i="89" s="1"/>
  <c r="B20" i="89" s="1"/>
  <c r="H281" i="81"/>
  <c r="G41" i="81"/>
  <c r="G37" i="81" s="1"/>
  <c r="E12" i="109" s="1"/>
  <c r="F85" i="81"/>
  <c r="G90" i="81"/>
  <c r="F94" i="81"/>
  <c r="G103" i="81"/>
  <c r="F107" i="81"/>
  <c r="G108" i="81"/>
  <c r="G81" i="81"/>
  <c r="H269" i="81"/>
  <c r="H257" i="81"/>
  <c r="H113" i="81"/>
  <c r="F36" i="81" l="1"/>
  <c r="F31" i="81" s="1"/>
  <c r="E66" i="81"/>
  <c r="G66" i="81" s="1"/>
  <c r="G65" i="81" s="1"/>
  <c r="D7" i="85" s="1"/>
  <c r="D10" i="23"/>
  <c r="G36" i="81" l="1"/>
  <c r="G31" i="81" s="1"/>
  <c r="E11" i="109" s="1"/>
  <c r="D12" i="79"/>
  <c r="E65" i="81"/>
  <c r="F7" i="85"/>
  <c r="G11" i="79"/>
  <c r="F6" i="85"/>
  <c r="F10" i="23"/>
  <c r="F10" i="36" s="1"/>
  <c r="D11" i="36" l="1"/>
  <c r="D11" i="23" s="1"/>
  <c r="F11" i="23" s="1"/>
  <c r="F11" i="36" s="1"/>
  <c r="G12" i="79"/>
  <c r="E72" i="81"/>
  <c r="E73" i="81" s="1"/>
  <c r="E13" i="105" l="1"/>
  <c r="F13" i="105"/>
  <c r="P7" i="103" l="1"/>
  <c r="K7" i="103"/>
  <c r="E7" i="103"/>
  <c r="E9" i="105" s="1"/>
  <c r="C7" i="103"/>
  <c r="C9" i="105" s="1"/>
  <c r="C8" i="105" s="1"/>
  <c r="C7" i="105" s="1"/>
  <c r="I7" i="103"/>
  <c r="Q7" i="103"/>
  <c r="G7" i="103"/>
  <c r="G9" i="105" s="1"/>
  <c r="J7" i="103"/>
  <c r="H7" i="103"/>
  <c r="L7" i="103"/>
  <c r="N7" i="103"/>
  <c r="O7" i="103"/>
  <c r="L20" i="105" l="1"/>
  <c r="L9" i="92"/>
  <c r="Q20" i="105"/>
  <c r="Q9" i="92"/>
  <c r="C9" i="92"/>
  <c r="E32" i="104"/>
  <c r="M20" i="105"/>
  <c r="M9" i="92"/>
  <c r="E20" i="105"/>
  <c r="E9" i="92"/>
  <c r="P20" i="105"/>
  <c r="P9" i="92"/>
  <c r="D20" i="105"/>
  <c r="D9" i="92"/>
  <c r="N20" i="105"/>
  <c r="N9" i="92"/>
  <c r="O20" i="105"/>
  <c r="O9" i="92"/>
  <c r="I20" i="105"/>
  <c r="I9" i="92"/>
  <c r="H20" i="105"/>
  <c r="H9" i="92"/>
  <c r="K20" i="105"/>
  <c r="K9" i="92"/>
  <c r="J20" i="105"/>
  <c r="J9" i="92"/>
  <c r="F20" i="105"/>
  <c r="F9" i="92"/>
  <c r="G20" i="105"/>
  <c r="G9" i="92"/>
  <c r="M7" i="103"/>
  <c r="F7" i="103"/>
  <c r="F9" i="105" s="1"/>
  <c r="F8" i="105" s="1"/>
  <c r="F7" i="105" s="1"/>
  <c r="C20" i="105"/>
  <c r="H9" i="105"/>
  <c r="E8" i="105"/>
  <c r="E7" i="105" s="1"/>
  <c r="G8" i="105"/>
  <c r="G7" i="105" s="1"/>
  <c r="D9" i="105" l="1"/>
  <c r="D8" i="105" s="1"/>
  <c r="D7" i="105" s="1"/>
  <c r="H8" i="105"/>
  <c r="H7" i="105" s="1"/>
  <c r="I9" i="105"/>
  <c r="I8" i="105" l="1"/>
  <c r="I7" i="105" s="1"/>
  <c r="J9" i="105"/>
  <c r="J8" i="105" l="1"/>
  <c r="J7" i="105" s="1"/>
  <c r="K9" i="105"/>
  <c r="K8" i="105" l="1"/>
  <c r="K7" i="105" s="1"/>
  <c r="L9" i="105"/>
  <c r="L8" i="105" l="1"/>
  <c r="L7" i="105" s="1"/>
  <c r="M9" i="105"/>
  <c r="M8" i="105" l="1"/>
  <c r="M7" i="105" s="1"/>
  <c r="N9" i="105"/>
  <c r="N8" i="105" l="1"/>
  <c r="N7" i="105" s="1"/>
  <c r="O9" i="105"/>
  <c r="O8" i="105" s="1"/>
  <c r="O7" i="105" s="1"/>
  <c r="P9" i="105" l="1"/>
  <c r="P8" i="105" s="1"/>
  <c r="P7" i="105" s="1"/>
  <c r="Q9" i="105" l="1"/>
  <c r="Q8" i="105" s="1"/>
  <c r="Q7" i="105" s="1"/>
  <c r="F112" i="81" l="1"/>
  <c r="G113" i="81"/>
  <c r="F5" i="85" l="1"/>
  <c r="G5" i="79"/>
  <c r="F9" i="23" l="1"/>
  <c r="F9" i="36" s="1"/>
  <c r="H312" i="81" l="1"/>
  <c r="G71" i="81" l="1"/>
  <c r="C15" i="105" l="1"/>
  <c r="H177" i="81"/>
  <c r="F46" i="81" l="1"/>
  <c r="G46" i="81" s="1"/>
  <c r="G177" i="81"/>
  <c r="G184" i="81"/>
  <c r="G47" i="81" l="1"/>
  <c r="G43" i="81" s="1"/>
  <c r="E13" i="109" s="1"/>
  <c r="D4" i="79"/>
  <c r="F43" i="81"/>
  <c r="F72" i="81" l="1"/>
  <c r="F73" i="81" s="1"/>
  <c r="G72" i="81"/>
  <c r="G73" i="81" s="1"/>
  <c r="D8" i="36"/>
  <c r="D8" i="23" s="1"/>
  <c r="F8" i="23" s="1"/>
  <c r="F8" i="36" s="1"/>
  <c r="D4" i="85"/>
  <c r="D8" i="85" s="1"/>
  <c r="G4" i="79"/>
  <c r="G13" i="79" s="1"/>
  <c r="F5" i="81" l="1"/>
  <c r="D4" i="116" s="1"/>
  <c r="K8" i="89"/>
  <c r="R8" i="89"/>
  <c r="J8" i="89"/>
  <c r="E8" i="89"/>
  <c r="Q8" i="89"/>
  <c r="I8" i="89"/>
  <c r="P8" i="89"/>
  <c r="H8" i="89"/>
  <c r="O8" i="89"/>
  <c r="G8" i="89"/>
  <c r="N8" i="89"/>
  <c r="F8" i="89"/>
  <c r="D8" i="89"/>
  <c r="L8" i="89"/>
  <c r="M8" i="89"/>
  <c r="D12" i="36"/>
  <c r="D13" i="36" s="1"/>
  <c r="C14" i="105"/>
  <c r="F4" i="85"/>
  <c r="F8" i="85" s="1"/>
  <c r="D14" i="105"/>
  <c r="E10" i="109" l="1"/>
  <c r="L9" i="104"/>
  <c r="E9" i="104"/>
  <c r="I9" i="104"/>
  <c r="S9" i="104"/>
  <c r="K9" i="104"/>
  <c r="G9" i="104"/>
  <c r="H9" i="104"/>
  <c r="R9" i="104"/>
  <c r="J9" i="104"/>
  <c r="Q9" i="104"/>
  <c r="P9" i="104"/>
  <c r="O9" i="104"/>
  <c r="N9" i="104"/>
  <c r="F9" i="104"/>
  <c r="M9" i="104"/>
  <c r="K23" i="104"/>
  <c r="F23" i="104"/>
  <c r="G23" i="104"/>
  <c r="R23" i="104"/>
  <c r="H23" i="104"/>
  <c r="L23" i="104"/>
  <c r="S23" i="104"/>
  <c r="Q23" i="104"/>
  <c r="I23" i="104"/>
  <c r="P23" i="104"/>
  <c r="M23" i="104"/>
  <c r="O23" i="104"/>
  <c r="J23" i="104"/>
  <c r="P10" i="89"/>
  <c r="N23" i="104"/>
  <c r="D12" i="23"/>
  <c r="F12" i="23" s="1"/>
  <c r="F12" i="36" s="1"/>
  <c r="E23" i="104"/>
  <c r="R10" i="89"/>
  <c r="Q10" i="89"/>
  <c r="O10" i="89"/>
  <c r="N10" i="89"/>
  <c r="I10" i="89"/>
  <c r="G10" i="89"/>
  <c r="H10" i="89"/>
  <c r="M10" i="89"/>
  <c r="D10" i="89"/>
  <c r="F10" i="89"/>
  <c r="E10" i="89"/>
  <c r="L10" i="89"/>
  <c r="K10" i="89"/>
  <c r="J10" i="89"/>
  <c r="F4" i="116"/>
  <c r="C13" i="105"/>
  <c r="D13" i="105"/>
  <c r="E18" i="89" l="1"/>
  <c r="D12" i="103" s="1"/>
  <c r="D18" i="89"/>
  <c r="K11" i="104"/>
  <c r="H11" i="104"/>
  <c r="L11" i="104"/>
  <c r="J11" i="104"/>
  <c r="O11" i="104"/>
  <c r="Q11" i="104"/>
  <c r="F11" i="104"/>
  <c r="R11" i="104"/>
  <c r="M11" i="104"/>
  <c r="P11" i="104"/>
  <c r="G11" i="104"/>
  <c r="E11" i="104"/>
  <c r="S11" i="104"/>
  <c r="N11" i="104"/>
  <c r="P13" i="89"/>
  <c r="Q28" i="104" s="1"/>
  <c r="I11" i="104"/>
  <c r="K25" i="104"/>
  <c r="F25" i="104"/>
  <c r="P25" i="104"/>
  <c r="Q25" i="104"/>
  <c r="S25" i="104"/>
  <c r="N25" i="104"/>
  <c r="I25" i="104"/>
  <c r="G25" i="104"/>
  <c r="H25" i="104"/>
  <c r="J25" i="104"/>
  <c r="R25" i="104"/>
  <c r="L25" i="104"/>
  <c r="M25" i="104"/>
  <c r="O25" i="104"/>
  <c r="D13" i="23"/>
  <c r="F13" i="23"/>
  <c r="D3" i="23" s="1"/>
  <c r="E13" i="89"/>
  <c r="E25" i="104"/>
  <c r="R13" i="89"/>
  <c r="Q13" i="89"/>
  <c r="M13" i="89"/>
  <c r="O13" i="89"/>
  <c r="J13" i="89"/>
  <c r="H13" i="89"/>
  <c r="F13" i="89"/>
  <c r="L13" i="89"/>
  <c r="D13" i="89"/>
  <c r="N13" i="89"/>
  <c r="I13" i="89"/>
  <c r="G13" i="89"/>
  <c r="K13" i="89"/>
  <c r="D19" i="105" l="1"/>
  <c r="F31" i="104"/>
  <c r="F17" i="104"/>
  <c r="O10" i="92"/>
  <c r="I14" i="104"/>
  <c r="F14" i="104"/>
  <c r="H14" i="104"/>
  <c r="P14" i="104"/>
  <c r="J14" i="104"/>
  <c r="N14" i="104"/>
  <c r="K14" i="104"/>
  <c r="C12" i="103"/>
  <c r="E17" i="104"/>
  <c r="O14" i="104"/>
  <c r="R14" i="104"/>
  <c r="M14" i="104"/>
  <c r="S14" i="104"/>
  <c r="Q14" i="104"/>
  <c r="L14" i="104"/>
  <c r="E14" i="104"/>
  <c r="G14" i="104"/>
  <c r="P28" i="104"/>
  <c r="O28" i="104"/>
  <c r="R28" i="104"/>
  <c r="N28" i="104"/>
  <c r="G28" i="104"/>
  <c r="J28" i="104"/>
  <c r="M28" i="104"/>
  <c r="I28" i="104"/>
  <c r="S28" i="104"/>
  <c r="L28" i="104"/>
  <c r="H28" i="104"/>
  <c r="K28" i="104"/>
  <c r="E14" i="89"/>
  <c r="E16" i="89" s="1"/>
  <c r="D8" i="92" s="1"/>
  <c r="F28" i="104"/>
  <c r="R11" i="105"/>
  <c r="R22" i="105"/>
  <c r="M10" i="92"/>
  <c r="K10" i="92"/>
  <c r="N10" i="92"/>
  <c r="D14" i="89"/>
  <c r="D16" i="89" s="1"/>
  <c r="E28" i="104"/>
  <c r="E10" i="92"/>
  <c r="C10" i="92"/>
  <c r="E31" i="104"/>
  <c r="D10" i="92"/>
  <c r="L10" i="92"/>
  <c r="F10" i="92"/>
  <c r="Q10" i="92"/>
  <c r="P10" i="92"/>
  <c r="I10" i="92"/>
  <c r="H10" i="92"/>
  <c r="C19" i="105"/>
  <c r="G10" i="92"/>
  <c r="F14" i="89"/>
  <c r="E7" i="92" s="1"/>
  <c r="J10" i="92"/>
  <c r="G14" i="89"/>
  <c r="F7" i="92" s="1"/>
  <c r="D18" i="105" l="1"/>
  <c r="D7" i="92"/>
  <c r="D12" i="92" s="1"/>
  <c r="D15" i="92" s="1"/>
  <c r="C7" i="92"/>
  <c r="F16" i="89"/>
  <c r="E18" i="105" s="1"/>
  <c r="C18" i="105"/>
  <c r="C8" i="92"/>
  <c r="I14" i="89"/>
  <c r="H7" i="92" s="1"/>
  <c r="H14" i="89"/>
  <c r="G7" i="92" s="1"/>
  <c r="G16" i="89"/>
  <c r="C12" i="92" l="1"/>
  <c r="C15" i="92" s="1"/>
  <c r="E8" i="92"/>
  <c r="E12" i="92" s="1"/>
  <c r="F8" i="92"/>
  <c r="F12" i="92" s="1"/>
  <c r="I16" i="89"/>
  <c r="H16" i="89"/>
  <c r="J14" i="89"/>
  <c r="I7" i="92" s="1"/>
  <c r="F18" i="105"/>
  <c r="C16" i="92" l="1"/>
  <c r="C17" i="105" s="1"/>
  <c r="C12" i="105" s="1"/>
  <c r="C22" i="105" s="1"/>
  <c r="D16" i="92"/>
  <c r="D17" i="105" s="1"/>
  <c r="D12" i="105" s="1"/>
  <c r="E15" i="92"/>
  <c r="H8" i="92"/>
  <c r="G8" i="92"/>
  <c r="H18" i="105"/>
  <c r="G18" i="105"/>
  <c r="J16" i="89"/>
  <c r="F15" i="92"/>
  <c r="K14" i="89"/>
  <c r="J7" i="92" s="1"/>
  <c r="C24" i="105" l="1"/>
  <c r="C23" i="105"/>
  <c r="C25" i="105"/>
  <c r="F16" i="92"/>
  <c r="F17" i="105" s="1"/>
  <c r="F12" i="105" s="1"/>
  <c r="E16" i="92"/>
  <c r="E17" i="105" s="1"/>
  <c r="E12" i="105" s="1"/>
  <c r="I8" i="92"/>
  <c r="G12" i="92"/>
  <c r="H12" i="92"/>
  <c r="H15" i="92" s="1"/>
  <c r="K16" i="89"/>
  <c r="I18" i="105"/>
  <c r="H17" i="105" l="1"/>
  <c r="H12" i="105" s="1"/>
  <c r="G15" i="92"/>
  <c r="J8" i="92"/>
  <c r="J2" i="92"/>
  <c r="L14" i="89"/>
  <c r="K7" i="92" s="1"/>
  <c r="I12" i="92"/>
  <c r="I15" i="92" s="1"/>
  <c r="I16" i="92" s="1"/>
  <c r="K17" i="105" s="1"/>
  <c r="J18" i="105"/>
  <c r="G16" i="92" l="1"/>
  <c r="I17" i="105" s="1"/>
  <c r="I12" i="105" s="1"/>
  <c r="H16" i="92"/>
  <c r="J17" i="105" s="1"/>
  <c r="J12" i="105" s="1"/>
  <c r="L16" i="89"/>
  <c r="J12" i="92"/>
  <c r="J15" i="92" s="1"/>
  <c r="J16" i="92" s="1"/>
  <c r="L17" i="105" s="1"/>
  <c r="M14" i="89"/>
  <c r="L7" i="92" s="1"/>
  <c r="N14" i="89"/>
  <c r="M7" i="92" s="1"/>
  <c r="G17" i="105" l="1"/>
  <c r="G12" i="105" s="1"/>
  <c r="K18" i="105"/>
  <c r="K12" i="105" s="1"/>
  <c r="K8" i="92"/>
  <c r="M16" i="89"/>
  <c r="N16" i="89"/>
  <c r="M8" i="92" l="1"/>
  <c r="L8" i="92"/>
  <c r="K12" i="92"/>
  <c r="K15" i="92" s="1"/>
  <c r="K16" i="92" s="1"/>
  <c r="M17" i="105" s="1"/>
  <c r="O14" i="89"/>
  <c r="N7" i="92" s="1"/>
  <c r="P14" i="89"/>
  <c r="O7" i="92" s="1"/>
  <c r="M18" i="105"/>
  <c r="L18" i="105"/>
  <c r="L12" i="105" l="1"/>
  <c r="M12" i="105"/>
  <c r="M12" i="92"/>
  <c r="M15" i="92" s="1"/>
  <c r="O16" i="89"/>
  <c r="P16" i="89"/>
  <c r="Q14" i="89"/>
  <c r="P7" i="92" s="1"/>
  <c r="L12" i="92"/>
  <c r="L15" i="92" s="1"/>
  <c r="L16" i="92" s="1"/>
  <c r="N17" i="105" s="1"/>
  <c r="O8" i="92" l="1"/>
  <c r="N8" i="92"/>
  <c r="N18" i="105"/>
  <c r="Q16" i="89"/>
  <c r="O18" i="105"/>
  <c r="M16" i="92"/>
  <c r="O17" i="105" s="1"/>
  <c r="R14" i="89"/>
  <c r="Q7" i="92" s="1"/>
  <c r="P8" i="92" l="1"/>
  <c r="N12" i="105"/>
  <c r="O12" i="105"/>
  <c r="O12" i="92"/>
  <c r="O15" i="92" s="1"/>
  <c r="P18" i="105"/>
  <c r="N12" i="92"/>
  <c r="N15" i="92" s="1"/>
  <c r="N16" i="92" s="1"/>
  <c r="P17" i="105" s="1"/>
  <c r="R16" i="89"/>
  <c r="Q8" i="92" l="1"/>
  <c r="P12" i="105"/>
  <c r="P12" i="92"/>
  <c r="P15" i="92" s="1"/>
  <c r="P16" i="92" s="1"/>
  <c r="O16" i="92"/>
  <c r="Q17" i="105" s="1"/>
  <c r="Q18" i="105"/>
  <c r="Q12" i="105" l="1"/>
  <c r="Q12" i="92"/>
  <c r="Q15" i="92" s="1"/>
  <c r="Q16" i="92" l="1"/>
  <c r="F13" i="36"/>
  <c r="D17" i="89" l="1"/>
  <c r="D19" i="89" s="1"/>
  <c r="F17" i="89"/>
  <c r="K17" i="89"/>
  <c r="R17" i="89"/>
  <c r="J17" i="89"/>
  <c r="Q17" i="89"/>
  <c r="I17" i="89"/>
  <c r="P17" i="89"/>
  <c r="H17" i="89"/>
  <c r="O17" i="89"/>
  <c r="G17" i="89"/>
  <c r="N17" i="89"/>
  <c r="M17" i="89"/>
  <c r="E17" i="89"/>
  <c r="E19" i="89" s="1"/>
  <c r="L17" i="89"/>
  <c r="D3" i="36"/>
  <c r="L16" i="104" l="1"/>
  <c r="G16" i="104"/>
  <c r="D21" i="89"/>
  <c r="D22" i="89" s="1"/>
  <c r="E16" i="104"/>
  <c r="S16" i="104"/>
  <c r="K16" i="104"/>
  <c r="Q16" i="104"/>
  <c r="H16" i="104"/>
  <c r="P16" i="104"/>
  <c r="R16" i="104"/>
  <c r="O16" i="104"/>
  <c r="J16" i="104"/>
  <c r="F16" i="104"/>
  <c r="I16" i="104"/>
  <c r="N16" i="104"/>
  <c r="M16" i="104"/>
  <c r="E30" i="104"/>
  <c r="R30" i="104"/>
  <c r="L30" i="104"/>
  <c r="G30" i="104"/>
  <c r="O30" i="104"/>
  <c r="N30" i="104"/>
  <c r="H30" i="104"/>
  <c r="P30" i="104"/>
  <c r="F30" i="104"/>
  <c r="S30" i="104"/>
  <c r="Q30" i="104"/>
  <c r="K30" i="104"/>
  <c r="I30" i="104"/>
  <c r="M30" i="104"/>
  <c r="J30" i="104"/>
  <c r="N19" i="89"/>
  <c r="N21" i="89" s="1"/>
  <c r="N22" i="89" s="1"/>
  <c r="J19" i="89"/>
  <c r="J21" i="89" s="1"/>
  <c r="J22" i="89" s="1"/>
  <c r="R19" i="89"/>
  <c r="R21" i="89" s="1"/>
  <c r="R22" i="89" s="1"/>
  <c r="K19" i="89"/>
  <c r="K21" i="89" s="1"/>
  <c r="K22" i="89" s="1"/>
  <c r="H19" i="89"/>
  <c r="H21" i="89" s="1"/>
  <c r="H22" i="89" s="1"/>
  <c r="L19" i="89"/>
  <c r="L21" i="89" s="1"/>
  <c r="L22" i="89" s="1"/>
  <c r="P19" i="89"/>
  <c r="P21" i="89" s="1"/>
  <c r="P22" i="89" s="1"/>
  <c r="E21" i="89"/>
  <c r="E22" i="89" s="1"/>
  <c r="I19" i="89"/>
  <c r="I21" i="89" s="1"/>
  <c r="I22" i="89" s="1"/>
  <c r="M19" i="89"/>
  <c r="M21" i="89" s="1"/>
  <c r="M22" i="89" s="1"/>
  <c r="Q19" i="89"/>
  <c r="Q21" i="89" s="1"/>
  <c r="Q22" i="89" s="1"/>
  <c r="F19" i="89"/>
  <c r="F21" i="89" s="1"/>
  <c r="F22" i="89" s="1"/>
  <c r="G19" i="89"/>
  <c r="G21" i="89" s="1"/>
  <c r="G22" i="89" s="1"/>
  <c r="O19" i="89"/>
  <c r="O21" i="89" s="1"/>
  <c r="O22" i="89" s="1"/>
  <c r="E23" i="109" l="1"/>
  <c r="R19" i="104"/>
  <c r="P8" i="103" s="1"/>
  <c r="P9" i="103" s="1"/>
  <c r="I19" i="104"/>
  <c r="G8" i="103" s="1"/>
  <c r="G9" i="103" s="1"/>
  <c r="O19" i="104"/>
  <c r="M8" i="103" s="1"/>
  <c r="M9" i="103" s="1"/>
  <c r="G19" i="104"/>
  <c r="E8" i="103" s="1"/>
  <c r="E9" i="103" s="1"/>
  <c r="Q19" i="104"/>
  <c r="O8" i="103" s="1"/>
  <c r="O9" i="103" s="1"/>
  <c r="L19" i="104"/>
  <c r="J8" i="103" s="1"/>
  <c r="J9" i="103" s="1"/>
  <c r="M19" i="104"/>
  <c r="K8" i="103" s="1"/>
  <c r="K9" i="103" s="1"/>
  <c r="P19" i="104"/>
  <c r="N8" i="103" s="1"/>
  <c r="N9" i="103" s="1"/>
  <c r="S19" i="104"/>
  <c r="Q8" i="103" s="1"/>
  <c r="Q9" i="103" s="1"/>
  <c r="E19" i="104"/>
  <c r="C8" i="103" s="1"/>
  <c r="C9" i="103" s="1"/>
  <c r="F19" i="104"/>
  <c r="D8" i="103" s="1"/>
  <c r="D9" i="103" s="1"/>
  <c r="N19" i="104"/>
  <c r="L8" i="103" s="1"/>
  <c r="L9" i="103" s="1"/>
  <c r="H19" i="104"/>
  <c r="F8" i="103" s="1"/>
  <c r="F9" i="103" s="1"/>
  <c r="M33" i="104"/>
  <c r="K10" i="103" s="1"/>
  <c r="S33" i="104"/>
  <c r="Q10" i="103" s="1"/>
  <c r="R33" i="104"/>
  <c r="P10" i="103" s="1"/>
  <c r="E33" i="104"/>
  <c r="I33" i="104"/>
  <c r="O33" i="104"/>
  <c r="M10" i="103" s="1"/>
  <c r="N33" i="104"/>
  <c r="L10" i="103" s="1"/>
  <c r="F33" i="104"/>
  <c r="D10" i="103" s="1"/>
  <c r="K19" i="104"/>
  <c r="I8" i="103" s="1"/>
  <c r="I9" i="103" s="1"/>
  <c r="K33" i="104"/>
  <c r="P33" i="104"/>
  <c r="N10" i="103" s="1"/>
  <c r="G33" i="104"/>
  <c r="J19" i="104"/>
  <c r="H8" i="103" s="1"/>
  <c r="H9" i="103" s="1"/>
  <c r="J33" i="104"/>
  <c r="H10" i="103" s="1"/>
  <c r="Q33" i="104"/>
  <c r="O10" i="103" s="1"/>
  <c r="H33" i="104"/>
  <c r="L33" i="104"/>
  <c r="J10" i="103" l="1"/>
  <c r="J11" i="103" s="1"/>
  <c r="J13" i="103" s="1"/>
  <c r="J14" i="103" s="1"/>
  <c r="J21" i="105" s="1"/>
  <c r="J22" i="105" s="1"/>
  <c r="J24" i="105" s="1"/>
  <c r="L35" i="104"/>
  <c r="P11" i="103"/>
  <c r="P13" i="103" s="1"/>
  <c r="P14" i="103" s="1"/>
  <c r="P21" i="105" s="1"/>
  <c r="P22" i="105" s="1"/>
  <c r="P24" i="105" s="1"/>
  <c r="M11" i="103"/>
  <c r="M13" i="103" s="1"/>
  <c r="M14" i="103" s="1"/>
  <c r="M15" i="103" s="1"/>
  <c r="M17" i="103" s="1"/>
  <c r="G35" i="104"/>
  <c r="I35" i="104"/>
  <c r="O11" i="103"/>
  <c r="O13" i="103" s="1"/>
  <c r="O14" i="103" s="1"/>
  <c r="O21" i="105" s="1"/>
  <c r="O22" i="105" s="1"/>
  <c r="O24" i="105" s="1"/>
  <c r="D11" i="103"/>
  <c r="D13" i="103" s="1"/>
  <c r="D14" i="103" s="1"/>
  <c r="D21" i="105" s="1"/>
  <c r="D22" i="105" s="1"/>
  <c r="M35" i="104"/>
  <c r="K11" i="103"/>
  <c r="K13" i="103" s="1"/>
  <c r="K14" i="103" s="1"/>
  <c r="K15" i="103" s="1"/>
  <c r="K17" i="103" s="1"/>
  <c r="Q11" i="103"/>
  <c r="Q13" i="103" s="1"/>
  <c r="Q14" i="103" s="1"/>
  <c r="Q15" i="103" s="1"/>
  <c r="H35" i="104"/>
  <c r="K35" i="104"/>
  <c r="P35" i="104"/>
  <c r="S35" i="104"/>
  <c r="I10" i="103"/>
  <c r="I11" i="103" s="1"/>
  <c r="I13" i="103" s="1"/>
  <c r="I14" i="103" s="1"/>
  <c r="I21" i="105" s="1"/>
  <c r="I22" i="105" s="1"/>
  <c r="I24" i="105" s="1"/>
  <c r="N11" i="103"/>
  <c r="N13" i="103" s="1"/>
  <c r="N14" i="103" s="1"/>
  <c r="N21" i="105" s="1"/>
  <c r="N22" i="105" s="1"/>
  <c r="N24" i="105" s="1"/>
  <c r="G10" i="103"/>
  <c r="G11" i="103" s="1"/>
  <c r="G13" i="103" s="1"/>
  <c r="G14" i="103" s="1"/>
  <c r="G21" i="105" s="1"/>
  <c r="G22" i="105" s="1"/>
  <c r="G24" i="105" s="1"/>
  <c r="E35" i="104"/>
  <c r="L11" i="103"/>
  <c r="L13" i="103" s="1"/>
  <c r="L14" i="103" s="1"/>
  <c r="L21" i="105" s="1"/>
  <c r="L22" i="105" s="1"/>
  <c r="L24" i="105" s="1"/>
  <c r="Q35" i="104"/>
  <c r="N35" i="104"/>
  <c r="O35" i="104"/>
  <c r="F10" i="103"/>
  <c r="F11" i="103" s="1"/>
  <c r="F13" i="103" s="1"/>
  <c r="F14" i="103" s="1"/>
  <c r="F21" i="105" s="1"/>
  <c r="F22" i="105" s="1"/>
  <c r="F24" i="105" s="1"/>
  <c r="R35" i="104"/>
  <c r="E10" i="103"/>
  <c r="E11" i="103" s="1"/>
  <c r="E13" i="103" s="1"/>
  <c r="E14" i="103" s="1"/>
  <c r="E21" i="105" s="1"/>
  <c r="E22" i="105" s="1"/>
  <c r="E24" i="105" s="1"/>
  <c r="H11" i="103"/>
  <c r="H13" i="103" s="1"/>
  <c r="H14" i="103" s="1"/>
  <c r="H21" i="105" s="1"/>
  <c r="H22" i="105" s="1"/>
  <c r="H24" i="105" s="1"/>
  <c r="C10" i="103"/>
  <c r="C11" i="103" s="1"/>
  <c r="C13" i="103" s="1"/>
  <c r="C15" i="103" s="1"/>
  <c r="C17" i="103" s="1"/>
  <c r="C18" i="103" s="1"/>
  <c r="J35" i="104"/>
  <c r="F35" i="104"/>
  <c r="D24" i="105" l="1"/>
  <c r="D25" i="105" s="1"/>
  <c r="D26" i="105" s="1"/>
  <c r="D27" i="105" s="1"/>
  <c r="M16" i="103"/>
  <c r="M21" i="105"/>
  <c r="M22" i="105" s="1"/>
  <c r="M24" i="105" s="1"/>
  <c r="K16" i="103"/>
  <c r="O15" i="103"/>
  <c r="O17" i="103" s="1"/>
  <c r="J15" i="103"/>
  <c r="J17" i="103" s="1"/>
  <c r="D23" i="105"/>
  <c r="E23" i="105" s="1"/>
  <c r="F23" i="105" s="1"/>
  <c r="G23" i="105" s="1"/>
  <c r="H23" i="105" s="1"/>
  <c r="I23" i="105" s="1"/>
  <c r="J23" i="105" s="1"/>
  <c r="D15" i="103"/>
  <c r="D17" i="103" s="1"/>
  <c r="D18" i="103" s="1"/>
  <c r="K21" i="105"/>
  <c r="K22" i="105" s="1"/>
  <c r="K24" i="105" s="1"/>
  <c r="L15" i="103"/>
  <c r="L17" i="103" s="1"/>
  <c r="G15" i="103"/>
  <c r="G16" i="103" s="1"/>
  <c r="F15" i="103"/>
  <c r="F16" i="103" s="1"/>
  <c r="H15" i="103"/>
  <c r="H17" i="103" s="1"/>
  <c r="E15" i="103"/>
  <c r="E17" i="103" s="1"/>
  <c r="P15" i="103"/>
  <c r="P17" i="103" s="1"/>
  <c r="I15" i="103"/>
  <c r="I16" i="103" s="1"/>
  <c r="Q21" i="105"/>
  <c r="Q22" i="105" s="1"/>
  <c r="Q24" i="105" s="1"/>
  <c r="N15" i="103"/>
  <c r="N17" i="103" s="1"/>
  <c r="Q17" i="103"/>
  <c r="Q16" i="103"/>
  <c r="E9" i="109" l="1"/>
  <c r="E7" i="109"/>
  <c r="E25" i="105"/>
  <c r="F25" i="105" s="1"/>
  <c r="G25" i="105" s="1"/>
  <c r="H25" i="105" s="1"/>
  <c r="I25" i="105" s="1"/>
  <c r="J25" i="105" s="1"/>
  <c r="K25" i="105" s="1"/>
  <c r="L25" i="105" s="1"/>
  <c r="M25" i="105" s="1"/>
  <c r="N25" i="105" s="1"/>
  <c r="O25" i="105" s="1"/>
  <c r="P25" i="105" s="1"/>
  <c r="Q25" i="105" s="1"/>
  <c r="J16" i="103"/>
  <c r="O16" i="103"/>
  <c r="K23" i="105"/>
  <c r="L23" i="105" s="1"/>
  <c r="M23" i="105" s="1"/>
  <c r="N23" i="105" s="1"/>
  <c r="O23" i="105" s="1"/>
  <c r="P23" i="105" s="1"/>
  <c r="Q23" i="105" s="1"/>
  <c r="D16" i="103"/>
  <c r="F17" i="103"/>
  <c r="L16" i="103"/>
  <c r="G17" i="103"/>
  <c r="E18" i="103"/>
  <c r="E16" i="103"/>
  <c r="N16" i="103"/>
  <c r="P16" i="103"/>
  <c r="H16" i="103"/>
  <c r="I17" i="103"/>
  <c r="E26" i="105" l="1"/>
  <c r="E27" i="105" s="1"/>
  <c r="F18" i="103"/>
  <c r="G18" i="103" s="1"/>
  <c r="H18" i="103" s="1"/>
  <c r="I18" i="103" s="1"/>
  <c r="J18" i="103" s="1"/>
  <c r="K18" i="103" s="1"/>
  <c r="L18" i="103" s="1"/>
  <c r="M18" i="103" s="1"/>
  <c r="N18" i="103" s="1"/>
  <c r="O18" i="103" s="1"/>
  <c r="P18" i="103" s="1"/>
  <c r="Q18" i="103" s="1"/>
  <c r="G26" i="105"/>
  <c r="G27" i="105" s="1"/>
  <c r="F26" i="105"/>
  <c r="F27" i="105" s="1"/>
  <c r="H26" i="105" l="1"/>
  <c r="H27" i="105" s="1"/>
  <c r="I26" i="105" l="1"/>
  <c r="I27" i="105" s="1"/>
  <c r="J26" i="105" l="1"/>
  <c r="J27" i="105" s="1"/>
  <c r="K26" i="105" l="1"/>
  <c r="K27" i="105" s="1"/>
  <c r="L26" i="105" l="1"/>
  <c r="L27" i="105" s="1"/>
  <c r="M26" i="105" l="1"/>
  <c r="M27" i="105" s="1"/>
  <c r="N26" i="105" l="1"/>
  <c r="N27" i="105" s="1"/>
  <c r="O26" i="105" l="1"/>
  <c r="O27" i="105" s="1"/>
  <c r="Q26" i="105" l="1"/>
  <c r="Q27" i="105" s="1"/>
  <c r="P26" i="105"/>
  <c r="P27" i="105" s="1"/>
  <c r="E8" i="10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73225EF3-7E94-411C-9186-870148D70B6E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مرجع؟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9A657E-1767-4AB2-ACEF-9CF9B2207F34}" keepAlive="1" name="Query - BitcoinVisuals com_chart" description="Connection to the 'BitcoinVisuals com_chart' query in the workbook." type="5" refreshedVersion="8" background="1" saveData="1">
    <dbPr connection="Provider=Microsoft.Mashup.OleDb.1;Data Source=$Workbook$;Location=&quot;BitcoinVisuals com_chart&quot;;Extended Properties=&quot;&quot;" command="SELECT * FROM [BitcoinVisuals com_chart]"/>
  </connection>
  <connection id="2" xr16:uid="{206D4A46-ED02-4F84-9A45-CE9F2950459E}" keepAlive="1" name="Query - Hash_rate Data" description="Connection to the 'Hash_rate Data' query in the workbook." type="5" refreshedVersion="0" background="1">
    <dbPr connection="Provider=Microsoft.Mashup.OleDb.1;Data Source=$Workbook$;Location=&quot;Hash_rate Data&quot;;Extended Properties=&quot;&quot;" command="SELECT * FROM [Hash_rate Data]"/>
  </connection>
  <connection id="3" xr16:uid="{BDBAF51F-46A1-4CA5-B368-6C9F0F6CBE7A}" keepAlive="1" name="Query - Hash_rate Data (2)" description="Connection to the 'Hash_rate Data (2)' query in the workbook." type="5" refreshedVersion="0" background="1">
    <dbPr connection="Provider=Microsoft.Mashup.OleDb.1;Data Source=$Workbook$;Location=&quot;Hash_rate Data (2)&quot;;Extended Properties=&quot;&quot;" command="SELECT * FROM [Hash_rate Data (2)]"/>
  </connection>
  <connection id="4" xr16:uid="{2D2A492A-6825-4A6E-AD93-F9B745B02ADB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<sst xmlns="http://schemas.openxmlformats.org/spreadsheetml/2006/main" count="7782" uniqueCount="5955">
  <si>
    <t>-</t>
  </si>
  <si>
    <t>تعداد</t>
  </si>
  <si>
    <t>مجموع</t>
  </si>
  <si>
    <t>شرح</t>
  </si>
  <si>
    <t>سرمايه‌گذاري</t>
  </si>
  <si>
    <t>نرخ تعمير و نگهداري</t>
  </si>
  <si>
    <t>هزينه سالانه تعميرات</t>
  </si>
  <si>
    <t>ارزش اسقاطي</t>
  </si>
  <si>
    <t>ماشين آلات و تجهيزات توليد</t>
  </si>
  <si>
    <t>تجهيزات و لوازم اداري، اثاثيه و منصوبات</t>
  </si>
  <si>
    <t>کل هزینه سالانه (میلیون ریال)</t>
  </si>
  <si>
    <t>دلار</t>
  </si>
  <si>
    <t>قیمت واحد</t>
  </si>
  <si>
    <t>هزينه سالانه بیمه</t>
  </si>
  <si>
    <t>میزان سرمایه</t>
  </si>
  <si>
    <t>هزينه سالانه استهلاک</t>
  </si>
  <si>
    <t>درصد استهلاک</t>
  </si>
  <si>
    <t>جمع</t>
  </si>
  <si>
    <t>هزینه های قبل از بهره برداری</t>
  </si>
  <si>
    <t>جدول</t>
  </si>
  <si>
    <t xml:space="preserve">شرح </t>
  </si>
  <si>
    <t>1-2</t>
  </si>
  <si>
    <t>4</t>
  </si>
  <si>
    <t>ریالی
 (میلیون ریال)</t>
  </si>
  <si>
    <t>ردیف</t>
  </si>
  <si>
    <t>درصد از فروش</t>
  </si>
  <si>
    <t>ساعات کارکرد سالانه</t>
  </si>
  <si>
    <t>محوطه سازی و  ساختمانها</t>
  </si>
  <si>
    <t>وسائط نقلیه</t>
  </si>
  <si>
    <t>متفرقه و پیش بینی نشده</t>
  </si>
  <si>
    <t>نرخ بیمه</t>
  </si>
  <si>
    <t>تعمير و نگهداري و قطعات يدكي</t>
  </si>
  <si>
    <t>هزينه هاي توليد</t>
  </si>
  <si>
    <t>هزينه هاي عملياتي</t>
  </si>
  <si>
    <t>هزينه هاي تامين مالي</t>
  </si>
  <si>
    <t xml:space="preserve">جمع كل هزينه هاي توليد </t>
  </si>
  <si>
    <t xml:space="preserve">هزينه هاي بازاريابي و تبليغات، توزيع و فروش </t>
  </si>
  <si>
    <t xml:space="preserve"> هزينه هاي پيش بيني نشده (5%)</t>
  </si>
  <si>
    <t>واحد</t>
  </si>
  <si>
    <t xml:space="preserve">سرمايه در گردش </t>
  </si>
  <si>
    <t>مدت</t>
  </si>
  <si>
    <t>روز</t>
  </si>
  <si>
    <t>جمع مواد اولیه</t>
  </si>
  <si>
    <t>حساب های دریافتنی</t>
  </si>
  <si>
    <t>موجودی نقد</t>
  </si>
  <si>
    <t>دارایی های جاری</t>
  </si>
  <si>
    <t>جمع سرمایه در گردش</t>
  </si>
  <si>
    <t>اثاثیه و تجهیزات اداری</t>
  </si>
  <si>
    <t>1</t>
  </si>
  <si>
    <t>2</t>
  </si>
  <si>
    <t>3</t>
  </si>
  <si>
    <t xml:space="preserve">نرخ تسعیر ارز </t>
  </si>
  <si>
    <t>جمع كل قيمت تمام شده محصولات (دلار)</t>
  </si>
  <si>
    <t>2-1</t>
  </si>
  <si>
    <t>2-2</t>
  </si>
  <si>
    <t>1-1</t>
  </si>
  <si>
    <t>(دلار)</t>
  </si>
  <si>
    <t>ارزی 
(دلار)</t>
  </si>
  <si>
    <t xml:space="preserve">مجموع
 (دلار) </t>
  </si>
  <si>
    <t>سرمایه گذاری زمین و ساختمان</t>
  </si>
  <si>
    <t>ساختمان و محوطه سازی</t>
  </si>
  <si>
    <t>کل هزینه سالانه (دلار)</t>
  </si>
  <si>
    <t>هزار ریال</t>
  </si>
  <si>
    <t>نیتروژن</t>
  </si>
  <si>
    <t>آب آتشنشانی</t>
  </si>
  <si>
    <t>رديف</t>
  </si>
  <si>
    <t>حقوق و بالاسری</t>
  </si>
  <si>
    <t xml:space="preserve">تعداد ماه </t>
  </si>
  <si>
    <t>مهندسی</t>
  </si>
  <si>
    <t>حراست</t>
  </si>
  <si>
    <t>آزمایشگاه</t>
  </si>
  <si>
    <t>ایمنی وآتش نشانی</t>
  </si>
  <si>
    <t>انبار و سوله</t>
  </si>
  <si>
    <t>محوطه سازی (خاکبرداری و تسطیح)</t>
  </si>
  <si>
    <t>نگهبانی</t>
  </si>
  <si>
    <t>سایر (اتاق کنترل و فضای سبز و ....)</t>
  </si>
  <si>
    <t>فنس کشی و فونداسیون (متر)</t>
  </si>
  <si>
    <t>هزینه واحد</t>
  </si>
  <si>
    <t>(میلیون ریال)</t>
  </si>
  <si>
    <t>زیربنا (متر مربع)</t>
  </si>
  <si>
    <t>وسایل رفاهی کارکنان</t>
  </si>
  <si>
    <t xml:space="preserve">فروش ناخالص </t>
  </si>
  <si>
    <t>کسر مي شود : هزينه هاي متغير</t>
  </si>
  <si>
    <t xml:space="preserve">حاشيه سود </t>
  </si>
  <si>
    <t>کسر مي شود : هزينه هاي ثابت</t>
  </si>
  <si>
    <t>حاشيه عملياتي سود</t>
  </si>
  <si>
    <t>کسر مي شود : هزينه هاي تامين مالي (سود تسهيلات)</t>
  </si>
  <si>
    <t xml:space="preserve">سود ناخالص عملياتي </t>
  </si>
  <si>
    <t xml:space="preserve">کسر مي شود: ماليات بر در آمد شرکت </t>
  </si>
  <si>
    <t xml:space="preserve">سود خالص </t>
  </si>
  <si>
    <t xml:space="preserve">درصد از فروش ناخالص </t>
  </si>
  <si>
    <t xml:space="preserve">سود و زيان سنواتي </t>
  </si>
  <si>
    <t xml:space="preserve">سود و زيان انباشته </t>
  </si>
  <si>
    <t>درصد</t>
  </si>
  <si>
    <t>هزينه هاي متغير :</t>
  </si>
  <si>
    <t xml:space="preserve">هزينه هاي ثابت : </t>
  </si>
  <si>
    <t xml:space="preserve">درصد نقطه سر به سر </t>
  </si>
  <si>
    <t>ارزش قراضه</t>
  </si>
  <si>
    <t>‎کل جريانات نقدي ورودي‎</t>
  </si>
  <si>
    <t>‎‏ جريانات ورودي عملياتي‏‎</t>
  </si>
  <si>
    <t>‎‏ درآمد فروش‏‎</t>
  </si>
  <si>
    <t>‎‏ بهره سپرده هاي کوتاه مدت‏‎</t>
  </si>
  <si>
    <t xml:space="preserve">ارزش قراضه </t>
  </si>
  <si>
    <t>‎کل جريانات نقدي خروجي‎</t>
  </si>
  <si>
    <t xml:space="preserve">‎‏ مخارج پيش از توليد </t>
  </si>
  <si>
    <t>سود دوران مشارکت تسهیلات</t>
  </si>
  <si>
    <t>‎‏ افزايش در سرمايه در گردش خالص‏‎</t>
  </si>
  <si>
    <t>‎‏ هزينه هاي عملياتي‏‎</t>
  </si>
  <si>
    <t>‎‏ هزينه هاي بازاريابي‏‎</t>
  </si>
  <si>
    <t>‎‏ ماليات بر درآمد (شرکت)‏‎</t>
  </si>
  <si>
    <t>‎‏ خالص جريانات نقدي تجمعي‎</t>
  </si>
  <si>
    <t>زمان عادی برگشت سرمایه</t>
  </si>
  <si>
    <t>سال</t>
  </si>
  <si>
    <t>محاسبات NPV  هر سال با نرخ تنزیل</t>
  </si>
  <si>
    <t>کل هزینه  (دلار)</t>
  </si>
  <si>
    <t>کل هزینه</t>
  </si>
  <si>
    <t xml:space="preserve">هزینه تهیه طرح، مشاوره پایه و تفصیلی، اخذ مجوز و حق ثبت قراردادهای بانکی </t>
  </si>
  <si>
    <t>ضریب افزایش هزینه سرمایه گذاری خرید واحدهای فرآیندی</t>
  </si>
  <si>
    <t>حساب های پرداختنی شماره-1</t>
  </si>
  <si>
    <t>حساب های پرداختنی شماره-2</t>
  </si>
  <si>
    <t>...</t>
  </si>
  <si>
    <t>کل هزینه (میلیون ریال)</t>
  </si>
  <si>
    <t>3-1</t>
  </si>
  <si>
    <t>4-1</t>
  </si>
  <si>
    <t>5-1</t>
  </si>
  <si>
    <t>پارامتر</t>
  </si>
  <si>
    <t>مقدار</t>
  </si>
  <si>
    <t>ريال</t>
  </si>
  <si>
    <t>توضيحات</t>
  </si>
  <si>
    <t>مرجع: fxmarketrate.cbi.ir</t>
  </si>
  <si>
    <t>يورو</t>
  </si>
  <si>
    <t>تاريخ دريافت نرخ ارز</t>
  </si>
  <si>
    <t>كاركرد ساليانه</t>
  </si>
  <si>
    <t>تعداد روزهاي كاركرد ساليانه</t>
  </si>
  <si>
    <t>درصد روزهای کارکرد سالانه</t>
  </si>
  <si>
    <t>روزهاي سال</t>
  </si>
  <si>
    <t>ساعات سال</t>
  </si>
  <si>
    <t>ساعت</t>
  </si>
  <si>
    <t>تاريخ شروع پروژه</t>
  </si>
  <si>
    <t>ماه در سال</t>
  </si>
  <si>
    <t>ماه</t>
  </si>
  <si>
    <t>هفته در سال</t>
  </si>
  <si>
    <t>هفته</t>
  </si>
  <si>
    <t>روز در ماه</t>
  </si>
  <si>
    <t>روز در هفته</t>
  </si>
  <si>
    <t>ساعت در روز</t>
  </si>
  <si>
    <t>ثانيه در روز</t>
  </si>
  <si>
    <t>ثانيه</t>
  </si>
  <si>
    <t>زمان</t>
  </si>
  <si>
    <t>مقياس</t>
  </si>
  <si>
    <t>هزار</t>
  </si>
  <si>
    <t>ميليون</t>
  </si>
  <si>
    <t>میلیارد</t>
  </si>
  <si>
    <t>خرید</t>
  </si>
  <si>
    <t>ساخت</t>
  </si>
  <si>
    <t>پیش راه اندازی</t>
  </si>
  <si>
    <t>راه اندازی و تست عملکرد</t>
  </si>
  <si>
    <t>طراحی جزییات مهندسی</t>
  </si>
  <si>
    <t>تامین کالا</t>
  </si>
  <si>
    <t>نقشه‌های As-builts</t>
  </si>
  <si>
    <t xml:space="preserve">طراحی جزییات مهندسی </t>
  </si>
  <si>
    <t>مهندسی خرید</t>
  </si>
  <si>
    <t>تهیه نقشه‌های As-Builds</t>
  </si>
  <si>
    <t>درصد قیمت گاز صادراتی</t>
  </si>
  <si>
    <t>فرآیند</t>
  </si>
  <si>
    <t>مکانیکی</t>
  </si>
  <si>
    <t>پایپینگ</t>
  </si>
  <si>
    <t>الکتریکی</t>
  </si>
  <si>
    <t>ابزار دقیق</t>
  </si>
  <si>
    <t>لوله و اتصالات</t>
  </si>
  <si>
    <t>حمل و پیاده سازی</t>
  </si>
  <si>
    <t>عمرانی</t>
  </si>
  <si>
    <t>ساختمان سازی</t>
  </si>
  <si>
    <t>مخازن ذخیره سازی</t>
  </si>
  <si>
    <t>لوله و تاسیسات</t>
  </si>
  <si>
    <t>فاضلاب</t>
  </si>
  <si>
    <t>ابزار دقیق و دوربین های مدار بسته</t>
  </si>
  <si>
    <t>کالا</t>
  </si>
  <si>
    <t>خرید و تملک زمین به مساحت 5 هکتار</t>
  </si>
  <si>
    <t xml:space="preserve">نمازخانه، بخش اداری، خوابگاه، سالن‌های غذاخوری و ورزشی </t>
  </si>
  <si>
    <t>توضیحات</t>
  </si>
  <si>
    <t>زیرسازی سیستم خنک سازی</t>
  </si>
  <si>
    <t>وسیله نقلیه متعارف: وانت 2 کابین</t>
  </si>
  <si>
    <t>پایپ رک، فونداسیون بتنی و استراکچر فلزی</t>
  </si>
  <si>
    <t>میز، کمد و صندلی اداری</t>
  </si>
  <si>
    <t>تلفن رومیزی سنترال</t>
  </si>
  <si>
    <t>پرینتر چند کاره</t>
  </si>
  <si>
    <t>تجهیزات ایمنی برای کارکنان</t>
  </si>
  <si>
    <t>قيمت گاز صادراتي</t>
  </si>
  <si>
    <t>سنت در هر متر مكعب</t>
  </si>
  <si>
    <t>واحد 
شيرين
 سازي</t>
  </si>
  <si>
    <t>واحد
جدا
سازي
گاز
مايع
و
ميعانات
گازي</t>
  </si>
  <si>
    <t>واحد
توليد
برق</t>
  </si>
  <si>
    <t>واحد
استخراج
رمز
ارز</t>
  </si>
  <si>
    <t>مشخصات گاز ورودي</t>
  </si>
  <si>
    <t>قيمت گاز</t>
  </si>
  <si>
    <t>واحد پولي</t>
  </si>
  <si>
    <t>دلار به سنت</t>
  </si>
  <si>
    <t>سنت به دلار</t>
  </si>
  <si>
    <t>سنت</t>
  </si>
  <si>
    <t>واحد فرآیندی- جداسازي گاز مايع و ميعانات</t>
  </si>
  <si>
    <t>3-2</t>
  </si>
  <si>
    <t>4-2</t>
  </si>
  <si>
    <t>5-2</t>
  </si>
  <si>
    <t>1-5</t>
  </si>
  <si>
    <t>1-4</t>
  </si>
  <si>
    <t>1-3</t>
  </si>
  <si>
    <t>2-3</t>
  </si>
  <si>
    <t>3-3</t>
  </si>
  <si>
    <t>4-3</t>
  </si>
  <si>
    <t>5-3</t>
  </si>
  <si>
    <t>2-5</t>
  </si>
  <si>
    <t>جمع سرمايه ثابت</t>
  </si>
  <si>
    <t>واحد (ميليون ريال)</t>
  </si>
  <si>
    <t>دوره ساخت</t>
  </si>
  <si>
    <t>نرخ تنزیل</t>
  </si>
  <si>
    <t>واحد شيرين سازي</t>
  </si>
  <si>
    <t>واحد جداسازي گاز مايع و ميعانات</t>
  </si>
  <si>
    <t>توزيع سرمايه در دوره ساخت</t>
  </si>
  <si>
    <t>خطي</t>
  </si>
  <si>
    <t>كشش پذيري (Elastisity) سرمایه گذاری ثابت</t>
  </si>
  <si>
    <t>کامپیوتر رومیزی</t>
  </si>
  <si>
    <t>آمين (MDEA) اوليه</t>
  </si>
  <si>
    <t>كل هزينه (دلار)</t>
  </si>
  <si>
    <t>زيرساخت اداری</t>
  </si>
  <si>
    <t>تلفن سنترال</t>
  </si>
  <si>
    <t>كابل كشي شبكه</t>
  </si>
  <si>
    <t>سامانه ERP (اداري، مالي، انبار و ...)</t>
  </si>
  <si>
    <t>ساير سامانه ها: هوش مصنوعي</t>
  </si>
  <si>
    <t>شرح زيرساخت اداري</t>
  </si>
  <si>
    <t>كاربر</t>
  </si>
  <si>
    <t>کل هزینه سالانه</t>
  </si>
  <si>
    <t>آمين MDEA</t>
  </si>
  <si>
    <t>ميني ان جي ال</t>
  </si>
  <si>
    <t>عملكرد واحد جداسازي</t>
  </si>
  <si>
    <t>مگا وات ساعت</t>
  </si>
  <si>
    <t>واحد حجمي</t>
  </si>
  <si>
    <t>فوت مكعب به متر مكعب</t>
  </si>
  <si>
    <t>مترمكعب</t>
  </si>
  <si>
    <t>مترمكعب به فوت مكعب</t>
  </si>
  <si>
    <t>فوت مكعب</t>
  </si>
  <si>
    <t>فوت مكعب به گالن</t>
  </si>
  <si>
    <t>گالن</t>
  </si>
  <si>
    <t>آناليز گاز</t>
  </si>
  <si>
    <t>فشار</t>
  </si>
  <si>
    <t>دما</t>
  </si>
  <si>
    <t>وزن مخصوص</t>
  </si>
  <si>
    <t>وزن مولي</t>
  </si>
  <si>
    <t>ارزش حرارتي خالص</t>
  </si>
  <si>
    <t>پام</t>
  </si>
  <si>
    <t>درجه فارنهايت</t>
  </si>
  <si>
    <t>گرم بر مول</t>
  </si>
  <si>
    <t>بي‌تي‌يو/فوت مكعب</t>
  </si>
  <si>
    <t>نيتروژن</t>
  </si>
  <si>
    <t>دي اكسيد كربن</t>
  </si>
  <si>
    <t>متان</t>
  </si>
  <si>
    <t>اتان</t>
  </si>
  <si>
    <t>پروپان</t>
  </si>
  <si>
    <t>ايزوبوتان</t>
  </si>
  <si>
    <t>نرمال بوتان</t>
  </si>
  <si>
    <t>ايزوپنتان</t>
  </si>
  <si>
    <t>نرمال پنتان</t>
  </si>
  <si>
    <t>هگزان</t>
  </si>
  <si>
    <t>هپتان و تركيبات بالاتر</t>
  </si>
  <si>
    <t>تركيبات سولفوري</t>
  </si>
  <si>
    <t>درصد مولي (حجمي)</t>
  </si>
  <si>
    <t>دبي</t>
  </si>
  <si>
    <t>ميليون فوت مكعب در روز</t>
  </si>
  <si>
    <t>گاز مايع (LPG): جزء پروپان</t>
  </si>
  <si>
    <t>گاز مايع (LPG): جزء نرمال بوتان</t>
  </si>
  <si>
    <t>مجموع گاز مايع</t>
  </si>
  <si>
    <t>گاز مايع (LPG): جزء ايزو بوتان</t>
  </si>
  <si>
    <t>خواص اجزاي گاز</t>
  </si>
  <si>
    <t>وزن مولي پروپان</t>
  </si>
  <si>
    <t>خواص هوا</t>
  </si>
  <si>
    <t>كيلوگرم بر متر مكعب</t>
  </si>
  <si>
    <t>تن در روز</t>
  </si>
  <si>
    <t>وزن مولي ايزو بوتان</t>
  </si>
  <si>
    <t>وزن مولي نرمال بوتان</t>
  </si>
  <si>
    <t>وزن مولي ايزو پنتان</t>
  </si>
  <si>
    <t>وزن مولي نرمال پنتان</t>
  </si>
  <si>
    <t>مرجع: آناليز گاز</t>
  </si>
  <si>
    <t>مرجع: استاندارد GPA 2145</t>
  </si>
  <si>
    <t>مرجع: استاندارد GPA 2146</t>
  </si>
  <si>
    <t>مجموع ميعانات گازي</t>
  </si>
  <si>
    <t>مرجع: استاندارد GPA 2143</t>
  </si>
  <si>
    <t>مرجع: استاندارد GPA 2144</t>
  </si>
  <si>
    <t>وزن مولي متان</t>
  </si>
  <si>
    <t>وزن مولي اتان</t>
  </si>
  <si>
    <t>ميعانات گازي: جزء نرمال هگزان</t>
  </si>
  <si>
    <t>گاز خشك: جز اتان</t>
  </si>
  <si>
    <t>مجموع گاز خشك</t>
  </si>
  <si>
    <t>وزن مولي هپتان و بالاتر</t>
  </si>
  <si>
    <t>وزن مولي نرمال هگزان</t>
  </si>
  <si>
    <t>ميعانات گازي: جزء ايزو پنتان</t>
  </si>
  <si>
    <t>ميعانات گازي: جزء نرمال پنتان</t>
  </si>
  <si>
    <t>دانسيته متان</t>
  </si>
  <si>
    <t>دانسيته اتان</t>
  </si>
  <si>
    <t>كيلوگرم بر مترمكعب</t>
  </si>
  <si>
    <t>پوند در هزار فوت مكعب</t>
  </si>
  <si>
    <t>واحد دانسيته</t>
  </si>
  <si>
    <t>پوند بر فوت مكعب</t>
  </si>
  <si>
    <t>سرپرست شیفت</t>
  </si>
  <si>
    <t>اپراتور واحدهای عملیاتی</t>
  </si>
  <si>
    <t>مهندس تعمیرات و نگهداری</t>
  </si>
  <si>
    <t>نیروی انسانی صف</t>
  </si>
  <si>
    <t>نیروهای خدماتی</t>
  </si>
  <si>
    <t>بالاسری</t>
  </si>
  <si>
    <t>شیفت واحدهای مهندسی در سایت</t>
  </si>
  <si>
    <t>شیفت واحدهای پشتیبانی در سایت</t>
  </si>
  <si>
    <t>2 هفته کار 2 هفته استراحت</t>
  </si>
  <si>
    <t>اقماری</t>
  </si>
  <si>
    <t>روزکار</t>
  </si>
  <si>
    <t>حقوق پايه (میلیون ريال)</t>
  </si>
  <si>
    <t>سنوات و عیدی</t>
  </si>
  <si>
    <t>مدیرعامل</t>
  </si>
  <si>
    <t>مدیر پروژه</t>
  </si>
  <si>
    <t>مدیر امور اداری</t>
  </si>
  <si>
    <t>مدیر امور مالی و سرمایه گذاری</t>
  </si>
  <si>
    <t>مشاورین</t>
  </si>
  <si>
    <t>کارشناس مدیریت پروژه</t>
  </si>
  <si>
    <t>کارشناس فاوا</t>
  </si>
  <si>
    <t>مدیر امور بازرگانی</t>
  </si>
  <si>
    <t>مدیر فاوا</t>
  </si>
  <si>
    <t xml:space="preserve"> کارشناسان امور اداری، مالی و بازرگانی</t>
  </si>
  <si>
    <t>اعضای هیات مدیره (حق‌الجلسه)</t>
  </si>
  <si>
    <t>نوع شیفت</t>
  </si>
  <si>
    <t>آمین جبرانی</t>
  </si>
  <si>
    <t xml:space="preserve"> مصرف سالیانه</t>
  </si>
  <si>
    <t>ریال</t>
  </si>
  <si>
    <t>شرح بار</t>
  </si>
  <si>
    <t>واحد حمل و نقل</t>
  </si>
  <si>
    <t>نحوه حمل و نقل</t>
  </si>
  <si>
    <t>کیلوگرم در ساعت</t>
  </si>
  <si>
    <t>کیلووات ساعت</t>
  </si>
  <si>
    <t xml:space="preserve">بخار آب  </t>
  </si>
  <si>
    <t>آب مصرفی نیروی انسانی</t>
  </si>
  <si>
    <t>كل مصرف سالیانه</t>
  </si>
  <si>
    <t>نفر متر مكعب در ماه</t>
  </si>
  <si>
    <t>مترمکعب در ماه</t>
  </si>
  <si>
    <t>هزار مترمكعب در روز</t>
  </si>
  <si>
    <t>نوع مبدل</t>
  </si>
  <si>
    <t>ژنراتور گازي كانتينري</t>
  </si>
  <si>
    <t>ارزش حرارتي پايين متان</t>
  </si>
  <si>
    <t>ارزش حرارتي پايين اتان</t>
  </si>
  <si>
    <t>مگا ژول در هر مترمكعب گاز</t>
  </si>
  <si>
    <t>مگا وات</t>
  </si>
  <si>
    <t>راندمان ژنراتور</t>
  </si>
  <si>
    <t>واحد انرژي</t>
  </si>
  <si>
    <t>مگا ژول</t>
  </si>
  <si>
    <t>مگا وات ساعت در روز</t>
  </si>
  <si>
    <t>توان مصرفي</t>
  </si>
  <si>
    <t>ابزار دقیق و كنترل</t>
  </si>
  <si>
    <t xml:space="preserve">مهندسی </t>
  </si>
  <si>
    <t>كابل كشي و اتصالات</t>
  </si>
  <si>
    <t>عمرانی و فونداسيون</t>
  </si>
  <si>
    <t>اجرا</t>
  </si>
  <si>
    <t>نصب مكانيكي ژنراتورها</t>
  </si>
  <si>
    <t>نصب سيستم اگزوز و سايلنسر</t>
  </si>
  <si>
    <t>كابل كشي برق قدرت و كنترل</t>
  </si>
  <si>
    <t>سيستم اتصال به زمين</t>
  </si>
  <si>
    <t>تاسيسات جانبي و ايمني</t>
  </si>
  <si>
    <t>تست سرد و چك ليست مكانيكي</t>
  </si>
  <si>
    <t>تست نشتي خط لوله گاز ورودي</t>
  </si>
  <si>
    <t>تست عايقي و كابل</t>
  </si>
  <si>
    <t>راه اندازی اوليه و تنظيمات ECU</t>
  </si>
  <si>
    <t>تست سنكرونيزاسيون</t>
  </si>
  <si>
    <t>تست بار پله اي</t>
  </si>
  <si>
    <t>تست عملكرد نهايي</t>
  </si>
  <si>
    <t>ميليون دلار</t>
  </si>
  <si>
    <t>برق: واحدهاي فرآيندي و روشنايي</t>
  </si>
  <si>
    <t>Ref: asicminervalue.com</t>
  </si>
  <si>
    <t>كيلووات</t>
  </si>
  <si>
    <t>TH/s</t>
  </si>
  <si>
    <t>هش ريت شبكه</t>
  </si>
  <si>
    <t>EH/s</t>
  </si>
  <si>
    <t>Ref: coinwarz.com</t>
  </si>
  <si>
    <t>زمان استخراج بلوك</t>
  </si>
  <si>
    <t>بيت كوين</t>
  </si>
  <si>
    <t>طراحی هیدرولیک مسیر گردش آب</t>
  </si>
  <si>
    <t>طراحی الکتریکال و شبکه</t>
  </si>
  <si>
    <t>دستگاه‌های ماینر</t>
  </si>
  <si>
    <t>تجهیزات توزیع برق و کابل کشی</t>
  </si>
  <si>
    <t>زیرساخت شبکه و پایش</t>
  </si>
  <si>
    <t>لوله کشی و اتصالات</t>
  </si>
  <si>
    <t>نصب الکتریکی و کابل کشی</t>
  </si>
  <si>
    <t>عملیات عمرانی</t>
  </si>
  <si>
    <t>حمل و نقل</t>
  </si>
  <si>
    <t>تست نشیت‌یابی و هیدرولیک</t>
  </si>
  <si>
    <t>تست سرد تابلوها و شبکه</t>
  </si>
  <si>
    <t>راه اندازی اوليه و بالانس حرارتی</t>
  </si>
  <si>
    <t>هزینه به ازای هر هش ریت</t>
  </si>
  <si>
    <t>دلار به ازای TH/s</t>
  </si>
  <si>
    <t>تن</t>
  </si>
  <si>
    <t>بیت کوین</t>
  </si>
  <si>
    <t>ضریب کاهش نرخ ارز</t>
  </si>
  <si>
    <t>سهم سرمايه ثابت در دوره ساخت</t>
  </si>
  <si>
    <t>سهم سرمايه ثابت در سال اول دوره بهره‌برداري</t>
  </si>
  <si>
    <t>‎‏ هزينه تامين مالي</t>
  </si>
  <si>
    <t>هزينه خريد گاز و یوتیلیتی</t>
  </si>
  <si>
    <t>خريداري گاز مشعل</t>
  </si>
  <si>
    <t>جريان نقدي آزاد</t>
  </si>
  <si>
    <t>جریان نقدی تجمعی تنزیل‌شده</t>
  </si>
  <si>
    <t>1406/01/01</t>
  </si>
  <si>
    <t>دوره بهره‌برداري اول</t>
  </si>
  <si>
    <t>دوره بهره‌برداري دوم</t>
  </si>
  <si>
    <t>نيازمند تمديد قرارداد</t>
  </si>
  <si>
    <t xml:space="preserve"> در قرارداد 3.5 سال لحاظ شده است</t>
  </si>
  <si>
    <t>كل دوره پروژه</t>
  </si>
  <si>
    <t>سال اول تاخير</t>
  </si>
  <si>
    <t>سال دوم تاخير</t>
  </si>
  <si>
    <t>سال سوم تاخير</t>
  </si>
  <si>
    <t>سال چهارم تاخير</t>
  </si>
  <si>
    <t>سال پنجم تاخير</t>
  </si>
  <si>
    <t>تقويم بهره برداري</t>
  </si>
  <si>
    <t>سال بهره برداري</t>
  </si>
  <si>
    <t>دلار به ازاي هر فوت مكعب</t>
  </si>
  <si>
    <t>واحد توليد برق</t>
  </si>
  <si>
    <t>واحد استخراج رمزارز</t>
  </si>
  <si>
    <t>نوع فرآيند شيرين‌سازي</t>
  </si>
  <si>
    <t>نوع فرآيند جداسازي</t>
  </si>
  <si>
    <t>یوتیلیتی- خرید گاز</t>
  </si>
  <si>
    <t>حضور پرسنل توليد در سال دوم پروژه- دوره بهره‌برداري اول</t>
  </si>
  <si>
    <t>حضور پرسنل توليد در سال اول پروژه- دوره ساخت</t>
  </si>
  <si>
    <t>عملكرد واحدهاي تولیدی</t>
  </si>
  <si>
    <t xml:space="preserve"> سال های پروژه</t>
  </si>
  <si>
    <t>موجودی محصولات در جریان هزینه‌های تولیدی</t>
  </si>
  <si>
    <t>سال های تولید</t>
  </si>
  <si>
    <t>میلیون دلار</t>
  </si>
  <si>
    <t>میلیون فوت مکعب در روز</t>
  </si>
  <si>
    <t xml:space="preserve"> ظرفیت ورودی واحد استاندارد</t>
  </si>
  <si>
    <t>مترمکعب</t>
  </si>
  <si>
    <t>هزینه ساخت واحد استاندارد</t>
  </si>
  <si>
    <t>آب مقطر اولیه برای واحد استاندارد</t>
  </si>
  <si>
    <t>آمین اولیه برای واحد استاندارد</t>
  </si>
  <si>
    <t>آب مقطر جبرانی برای واحد استاندارد</t>
  </si>
  <si>
    <t>آمین جبرانی برای واحد استاندارد</t>
  </si>
  <si>
    <t>لیتر در ساعت</t>
  </si>
  <si>
    <t>مصرف برق</t>
  </si>
  <si>
    <t>مگاوات ساعت</t>
  </si>
  <si>
    <t>بخار آب</t>
  </si>
  <si>
    <t>کپسول در سال</t>
  </si>
  <si>
    <t>هزینه‌های پیمانکاری یک واحد شیرین‌سازی استاندارد</t>
  </si>
  <si>
    <t>وزن مولي گاز</t>
  </si>
  <si>
    <t>عوارض (در صورت تاخير در اتمام  ساخت در موعد مقرر)</t>
  </si>
  <si>
    <t>هزینه تامین مالی</t>
  </si>
  <si>
    <t>درصد هزینه ثابت</t>
  </si>
  <si>
    <t>هزينه تامین مالی</t>
  </si>
  <si>
    <t>میزان سرمایه ثابت</t>
  </si>
  <si>
    <t>نرخ بازگشت داخلی (IRR)</t>
  </si>
  <si>
    <t>ارزش فعلی خالص (NPV)</t>
  </si>
  <si>
    <t>دوره بازگشت سرمایه</t>
  </si>
  <si>
    <t>نسبت یورو به دلار</t>
  </si>
  <si>
    <t>هزینه‌ پیمانکاری  واحدهای پروژه</t>
  </si>
  <si>
    <t>بی تی یو</t>
  </si>
  <si>
    <t>ژول</t>
  </si>
  <si>
    <t>ضریب توانی نسبت تغییر از واحد استاندارد به واحد اصلی با ظرفیت بیشتر</t>
  </si>
  <si>
    <t>ضریب توانی نسبت تغییر از واحد استاندارد به واحد اصلی با ظرفیت کمتر</t>
  </si>
  <si>
    <t>هزینه های متفرقه و پیش بینی نشده (معادل پنج درصد کل هزینه ها)</t>
  </si>
  <si>
    <t>كاراكترهاي ثابت</t>
  </si>
  <si>
    <t>فاصله</t>
  </si>
  <si>
    <t>تعداد ژنراتور استندباي</t>
  </si>
  <si>
    <t>تجهيزات اضافه واحد توليد برق</t>
  </si>
  <si>
    <t>اجاره‌بهاي ستاد اداري</t>
  </si>
  <si>
    <t>ماهيانه</t>
  </si>
  <si>
    <t>واحد مصرف</t>
  </si>
  <si>
    <t xml:space="preserve"> آمین</t>
  </si>
  <si>
    <t>خاور</t>
  </si>
  <si>
    <t>سهم این پروژه از گاز کل پروژه</t>
  </si>
  <si>
    <t>سهم از نیروی انسانی ستاد (به نسبت سهم گاز ورودی از کل پروژه)</t>
  </si>
  <si>
    <t>سهم این پروژه</t>
  </si>
  <si>
    <t>از اجاره كمپ موجود در نزديكي واحد استفاده مي شود</t>
  </si>
  <si>
    <t>زمين</t>
  </si>
  <si>
    <t>3-5</t>
  </si>
  <si>
    <t>پيش پرداخت ساختمان اداري</t>
  </si>
  <si>
    <t>اجاره‌بهاي كمپ</t>
  </si>
  <si>
    <t>هزينه هاي ريالي مواد مصرفي- دوره ساخت</t>
  </si>
  <si>
    <t>هزينه هاي ارزي مواد مصرفي- دوره ساخت</t>
  </si>
  <si>
    <t>هزينه هاي ريالي مواد مصرفي- دوره بهره‌برداري اول و دوم</t>
  </si>
  <si>
    <t>هزينه هاي ارزي مواد مصرفي- دوره بهره‌برداري اول و دوم</t>
  </si>
  <si>
    <t>هزينه (ميليون ريال)</t>
  </si>
  <si>
    <t>آب مقطر</t>
  </si>
  <si>
    <t>نيسان</t>
  </si>
  <si>
    <t>واحد مصرفي</t>
  </si>
  <si>
    <t>ليتر</t>
  </si>
  <si>
    <t>مقدار مصرف روزانه</t>
  </si>
  <si>
    <t>ليتر در ساعت</t>
  </si>
  <si>
    <t>مترمكعب در روز</t>
  </si>
  <si>
    <t>مقدار مصرف</t>
  </si>
  <si>
    <t>هزينه هاي ريالي يوتيليتي</t>
  </si>
  <si>
    <t>هزينه هاي ارزي يوتيليتي</t>
  </si>
  <si>
    <t>هزينه گاز</t>
  </si>
  <si>
    <t>فروش گاز</t>
  </si>
  <si>
    <t>مدير پروژه</t>
  </si>
  <si>
    <t>مجموع حقوق و مزايا (ميليون ريال)</t>
  </si>
  <si>
    <t>حقوق سالیانه (میلیون ريال)</t>
  </si>
  <si>
    <t>افزايش هزينه هاي ريالي</t>
  </si>
  <si>
    <t>افزايش هزينه هاي ارزي</t>
  </si>
  <si>
    <t>قیمت واحد حمل</t>
  </si>
  <si>
    <t>كل هزينه (ميليون ريال)</t>
  </si>
  <si>
    <t>هزينه‌هاي حمل و نقل ريالي</t>
  </si>
  <si>
    <t>هزينه‌هاي حمل و نقل ارزي</t>
  </si>
  <si>
    <t>ارزش اسقاطي
(درصد)</t>
  </si>
  <si>
    <t>محوطه سازی و ساختمانها</t>
  </si>
  <si>
    <t>متغيرهاي نیروی انسانی</t>
  </si>
  <si>
    <t>نيروي انساني ستاد</t>
  </si>
  <si>
    <t>زمين و ساختمان</t>
  </si>
  <si>
    <t>جهت محاسبه سهم از هزينه‌هاي عمومي</t>
  </si>
  <si>
    <t>‎‏ افزايش در دارايي‌هاي ثابت‎</t>
  </si>
  <si>
    <t>‎‏ سرمايه گذاري‌هاي ثابت‏‎</t>
  </si>
  <si>
    <t>محوطه سازی و  ساختمان‌ها</t>
  </si>
  <si>
    <t>واحد فرآیندی- شيرين سازي و حذف سولفور</t>
  </si>
  <si>
    <t>مجموع سرمايه گذاري در بخش ساخت واحدها</t>
  </si>
  <si>
    <t>سرويس كاركنان عملياتي</t>
  </si>
  <si>
    <t>ميني بوس</t>
  </si>
  <si>
    <t>نوع حمل و نقل</t>
  </si>
  <si>
    <t>هفتگي</t>
  </si>
  <si>
    <t>در ماه</t>
  </si>
  <si>
    <t xml:space="preserve"> واحد حمل</t>
  </si>
  <si>
    <t>اثاثیه و تجهیزات اداری- عمليات</t>
  </si>
  <si>
    <t>اثاثیه و تجهیزات اداری- ستاد</t>
  </si>
  <si>
    <t>وسايل خواب و استراحت كاركنان</t>
  </si>
  <si>
    <t>زيرساخت اداری- عمليات</t>
  </si>
  <si>
    <t>زيرساخت اداری- ستاد</t>
  </si>
  <si>
    <t>1405/02/19</t>
  </si>
  <si>
    <t>مجموع هزينه پيمانكاري مجموع واحدهاي شيرين‌سازي و حذف سولفور</t>
  </si>
  <si>
    <t>براساس محتواي قرارداد</t>
  </si>
  <si>
    <t>استهلاك</t>
  </si>
  <si>
    <t>استهلاك (دلار)</t>
  </si>
  <si>
    <t>ارزش قراضه (دلار)</t>
  </si>
  <si>
    <t>پشتيباني سامانه ERP (اداري، مالي، انبار و ...)</t>
  </si>
  <si>
    <t>درصد پكيج خريداري شده</t>
  </si>
  <si>
    <t>سامانه سپيدار</t>
  </si>
  <si>
    <t>سيستم پوپك</t>
  </si>
  <si>
    <t>اپليكيشن مونيكا</t>
  </si>
  <si>
    <t>سامانه مديريت اطلاعات پروژه</t>
  </si>
  <si>
    <t>پشتيباني سامانه مديريت اطلاعات پروژه</t>
  </si>
  <si>
    <t>پيش فاكتور سامانه سپيدار- شركت همكاران سيستم</t>
  </si>
  <si>
    <t>پيش فاكتور محصول پوپك- شركت راهكار برتر آراد پايا</t>
  </si>
  <si>
    <t>سهم اين پروژه</t>
  </si>
  <si>
    <t>سهم اين پروژه به نسبت سهم از كل گاز طرح</t>
  </si>
  <si>
    <t>سهم اين پروژه از كل طرح</t>
  </si>
  <si>
    <t>مترمکعب در ساعت</t>
  </si>
  <si>
    <t>هواي ابزار دقيق</t>
  </si>
  <si>
    <t>مواد مصرفي</t>
  </si>
  <si>
    <t>پرسنل تولید</t>
  </si>
  <si>
    <t>بیمه</t>
  </si>
  <si>
    <t>از سال 1409 تا سال 1412</t>
  </si>
  <si>
    <t>از سال 1413 تا سال 1416</t>
  </si>
  <si>
    <t>از سال 1417 تا سال 1420</t>
  </si>
  <si>
    <t>افزایش/كاهش در سرمایه در گردش</t>
  </si>
  <si>
    <t>ارزش حرارتي پايين كل گاز</t>
  </si>
  <si>
    <t>Row Labels</t>
  </si>
  <si>
    <t>2017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</si>
  <si>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</si>
  <si>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</si>
  <si>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</si>
  <si>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</si>
  <si>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</si>
  <si>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</si>
  <si>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</si>
  <si>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</si>
  <si>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</si>
  <si>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</si>
  <si>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</si>
  <si>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</si>
  <si>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</si>
  <si>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</si>
  <si>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</si>
  <si>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</si>
  <si>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</si>
  <si>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</si>
  <si>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</si>
  <si>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</si>
  <si>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</si>
  <si>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Grand Total</t>
  </si>
  <si>
    <t>Average of Hash Rate</t>
  </si>
  <si>
    <t>DateTime</t>
  </si>
  <si>
    <t>Hash Rate</t>
  </si>
  <si>
    <t/>
  </si>
  <si>
    <t>X5</t>
  </si>
  <si>
    <t>X4</t>
  </si>
  <si>
    <t>X3</t>
  </si>
  <si>
    <t>X2</t>
  </si>
  <si>
    <t>X1</t>
  </si>
  <si>
    <t>Count</t>
  </si>
  <si>
    <t>Regression 5- Parameters</t>
  </si>
  <si>
    <t>Regression 3- Parameters</t>
  </si>
  <si>
    <t>ماه های تولید</t>
  </si>
  <si>
    <t>سال هاي توليد</t>
  </si>
  <si>
    <t>سال شمسي</t>
  </si>
  <si>
    <t>مطابق قرارداد</t>
  </si>
  <si>
    <t>دوره بهره‌برداري براساس قرارداد</t>
  </si>
  <si>
    <t>دوره بهره‌برداري براساس اثر هالوينگ</t>
  </si>
  <si>
    <t>زمان‌بندي پروژه براساس مفاد قرارداد</t>
  </si>
  <si>
    <t>دوره اول استخراج</t>
  </si>
  <si>
    <t>دوره دوم استخراج</t>
  </si>
  <si>
    <t>دوره سوم استخراج</t>
  </si>
  <si>
    <t>از سال 1407 تا سال 1408</t>
  </si>
  <si>
    <t>دوره چهام استخراج</t>
  </si>
  <si>
    <t>اتا هش به هش</t>
  </si>
  <si>
    <t xml:space="preserve">   age%</t>
  </si>
  <si>
    <t>توان لحظه‌ای هش ریت هر ماینر</t>
  </si>
  <si>
    <t>سال شمسی</t>
  </si>
  <si>
    <t>سال‌های تولید</t>
  </si>
  <si>
    <t>تولید ماهیانه</t>
  </si>
  <si>
    <t>Price</t>
  </si>
  <si>
    <t>SMA (200)</t>
  </si>
  <si>
    <t>0.17754999999999987</t>
  </si>
  <si>
    <t>0.18094999999999983</t>
  </si>
  <si>
    <t>0.1841499999999999</t>
  </si>
  <si>
    <t>0.1876999999999999</t>
  </si>
  <si>
    <t>0.19159999999999988</t>
  </si>
  <si>
    <t>0.19559999999999989</t>
  </si>
  <si>
    <t>0.1995999999999999</t>
  </si>
  <si>
    <t>0.20379999999999987</t>
  </si>
  <si>
    <t>0.20834999999999992</t>
  </si>
  <si>
    <t>0.21289999999999992</t>
  </si>
  <si>
    <t>0.21759999999999993</t>
  </si>
  <si>
    <t>0.22259999999999994</t>
  </si>
  <si>
    <t>0.22754999999999992</t>
  </si>
  <si>
    <t>0.23249999999999993</t>
  </si>
  <si>
    <t>0.23739999999999994</t>
  </si>
  <si>
    <t>0.24229999999999993</t>
  </si>
  <si>
    <t>0.24719999999999995</t>
  </si>
  <si>
    <t>0.25134999999999996</t>
  </si>
  <si>
    <t>0.25559999999999994</t>
  </si>
  <si>
    <t>0.25954999999999995</t>
  </si>
  <si>
    <t>0.26344999999999996</t>
  </si>
  <si>
    <t>0.26755</t>
  </si>
  <si>
    <t>0.27175</t>
  </si>
  <si>
    <t>0.2762</t>
  </si>
  <si>
    <t>0.28065</t>
  </si>
  <si>
    <t>0.285</t>
  </si>
  <si>
    <t>0.2893</t>
  </si>
  <si>
    <t>0.29335</t>
  </si>
  <si>
    <t>0.29775</t>
  </si>
  <si>
    <t>0.30200000000000005</t>
  </si>
  <si>
    <t>0.30625</t>
  </si>
  <si>
    <t>0.3105</t>
  </si>
  <si>
    <t>0.31455000000000005</t>
  </si>
  <si>
    <t>0.31845000000000007</t>
  </si>
  <si>
    <t>0.32255</t>
  </si>
  <si>
    <t>0.32655000000000006</t>
  </si>
  <si>
    <t>0.33045</t>
  </si>
  <si>
    <t>0.33460000000000006</t>
  </si>
  <si>
    <t>0.33870000000000006</t>
  </si>
  <si>
    <t>0.3428500000000001</t>
  </si>
  <si>
    <t>0.3470000000000001</t>
  </si>
  <si>
    <t>0.35110000000000013</t>
  </si>
  <si>
    <t>0.3552000000000001</t>
  </si>
  <si>
    <t>0.3591500000000001</t>
  </si>
  <si>
    <t>0.3630500000000001</t>
  </si>
  <si>
    <t>0.36660000000000004</t>
  </si>
  <si>
    <t>0.3701000000000001</t>
  </si>
  <si>
    <t>0.3736500000000001</t>
  </si>
  <si>
    <t>0.3771000000000001</t>
  </si>
  <si>
    <t>0.3807000000000001</t>
  </si>
  <si>
    <t>0.38455000000000006</t>
  </si>
  <si>
    <t>0.3886500000000001</t>
  </si>
  <si>
    <t>0.39275000000000004</t>
  </si>
  <si>
    <t>0.39680000000000004</t>
  </si>
  <si>
    <t>0.40065000000000006</t>
  </si>
  <si>
    <t>0.40440000000000004</t>
  </si>
  <si>
    <t>0.40805000000000013</t>
  </si>
  <si>
    <t>0.4117000000000002</t>
  </si>
  <si>
    <t>0.41535000000000016</t>
  </si>
  <si>
    <t>0.41895000000000016</t>
  </si>
  <si>
    <t>0.4226000000000002</t>
  </si>
  <si>
    <t>0.4262000000000002</t>
  </si>
  <si>
    <t>0.4293500000000002</t>
  </si>
  <si>
    <t>0.43240000000000023</t>
  </si>
  <si>
    <t>0.4357000000000002</t>
  </si>
  <si>
    <t>0.4391500000000002</t>
  </si>
  <si>
    <t>0.4426500000000002</t>
  </si>
  <si>
    <t>0.44605000000000017</t>
  </si>
  <si>
    <t>0.4494500000000001</t>
  </si>
  <si>
    <t>0.4530000000000001</t>
  </si>
  <si>
    <t>0.45695000000000013</t>
  </si>
  <si>
    <t>0.46130000000000015</t>
  </si>
  <si>
    <t>0.46575000000000016</t>
  </si>
  <si>
    <t>0.47045000000000015</t>
  </si>
  <si>
    <t>0.47535000000000016</t>
  </si>
  <si>
    <t>0.48045000000000015</t>
  </si>
  <si>
    <t>0.48590000000000017</t>
  </si>
  <si>
    <t>0.49150000000000027</t>
  </si>
  <si>
    <t>0.4970000000000002</t>
  </si>
  <si>
    <t>0.5026000000000003</t>
  </si>
  <si>
    <t>0.5087500000000003</t>
  </si>
  <si>
    <t>0.5162000000000002</t>
  </si>
  <si>
    <t>0.5242500000000003</t>
  </si>
  <si>
    <t>0.5318500000000003</t>
  </si>
  <si>
    <t>0.5398000000000003</t>
  </si>
  <si>
    <t>0.5488000000000003</t>
  </si>
  <si>
    <t>0.5584500000000002</t>
  </si>
  <si>
    <t>0.5709000000000003</t>
  </si>
  <si>
    <t>0.5869000000000003</t>
  </si>
  <si>
    <t>0.6021000000000004</t>
  </si>
  <si>
    <t>0.6178000000000003</t>
  </si>
  <si>
    <t>0.6339000000000004</t>
  </si>
  <si>
    <t>0.6506000000000003</t>
  </si>
  <si>
    <t>0.6671500000000004</t>
  </si>
  <si>
    <t>0.6840500000000003</t>
  </si>
  <si>
    <t>0.7016000000000004</t>
  </si>
  <si>
    <t>0.7199500000000004</t>
  </si>
  <si>
    <t>0.7384500000000004</t>
  </si>
  <si>
    <t>0.7616000000000005</t>
  </si>
  <si>
    <t>0.7878000000000004</t>
  </si>
  <si>
    <t>0.8164000000000006</t>
  </si>
  <si>
    <t>0.8530500000000005</t>
  </si>
  <si>
    <t>0.8915500000000006</t>
  </si>
  <si>
    <t>0.9243500000000006</t>
  </si>
  <si>
    <t>0.9622500000000006</t>
  </si>
  <si>
    <t>0.9989000000000007</t>
  </si>
  <si>
    <t>1.0336500000000006</t>
  </si>
  <si>
    <t>1.0675000000000006</t>
  </si>
  <si>
    <t>1.0979500000000006</t>
  </si>
  <si>
    <t>1.1268500000000006</t>
  </si>
  <si>
    <t>1.1582500000000007</t>
  </si>
  <si>
    <t>1.1927000000000008</t>
  </si>
  <si>
    <t>1.2276500000000006</t>
  </si>
  <si>
    <t>1.2661000000000007</t>
  </si>
  <si>
    <t>1.3070500000000005</t>
  </si>
  <si>
    <t>1.3488000000000004</t>
  </si>
  <si>
    <t>1.3897000000000006</t>
  </si>
  <si>
    <t>1.4302000000000006</t>
  </si>
  <si>
    <t>1.4727000000000006</t>
  </si>
  <si>
    <t>1.5158000000000007</t>
  </si>
  <si>
    <t>1.5604000000000007</t>
  </si>
  <si>
    <t>1.6095500000000007</t>
  </si>
  <si>
    <t>1.6736000000000006</t>
  </si>
  <si>
    <t>1.7544000000000008</t>
  </si>
  <si>
    <t>1.8397000000000008</t>
  </si>
  <si>
    <t>1.9306500000000006</t>
  </si>
  <si>
    <t>2.0288000000000004</t>
  </si>
  <si>
    <t>2.1636500000000005</t>
  </si>
  <si>
    <t>2.3101500000000006</t>
  </si>
  <si>
    <t>2.4321000000000006</t>
  </si>
  <si>
    <t>2.5187500000000007</t>
  </si>
  <si>
    <t>2.5984000000000007</t>
  </si>
  <si>
    <t>2.6975500000000006</t>
  </si>
  <si>
    <t>2.7924000000000007</t>
  </si>
  <si>
    <t>2.8894000000000006</t>
  </si>
  <si>
    <t>2.982300000000001</t>
  </si>
  <si>
    <t>3.0586000000000007</t>
  </si>
  <si>
    <t>3.1377500000000005</t>
  </si>
  <si>
    <t>3.22555</t>
  </si>
  <si>
    <t>3.3132</t>
  </si>
  <si>
    <t>3.4008</t>
  </si>
  <si>
    <t>3.4884999999999997</t>
  </si>
  <si>
    <t>3.5763</t>
  </si>
  <si>
    <t>3.66415</t>
  </si>
  <si>
    <t>3.7518999999999996</t>
  </si>
  <si>
    <t>3.8287</t>
  </si>
  <si>
    <t>3.9126999999999996</t>
  </si>
  <si>
    <t>3.9963999999999995</t>
  </si>
  <si>
    <t>4.0797</t>
  </si>
  <si>
    <t>4.161199999999999</t>
  </si>
  <si>
    <t>4.239599999999999</t>
  </si>
  <si>
    <t>4.316099999999999</t>
  </si>
  <si>
    <t>4.392299999999999</t>
  </si>
  <si>
    <t>4.463449999999999</t>
  </si>
  <si>
    <t>4.526199999999999</t>
  </si>
  <si>
    <t>4.5989499999999985</t>
  </si>
  <si>
    <t>4.673549999999999</t>
  </si>
  <si>
    <t>4.743999999999999</t>
  </si>
  <si>
    <t>4.814699999999998</t>
  </si>
  <si>
    <t>4.888849999999999</t>
  </si>
  <si>
    <t>4.959449999999999</t>
  </si>
  <si>
    <t>5.028949999999998</t>
  </si>
  <si>
    <t>5.097849999999998</t>
  </si>
  <si>
    <t>5.166249999999999</t>
  </si>
  <si>
    <t>5.234449999999998</t>
  </si>
  <si>
    <t>5.301199999999998</t>
  </si>
  <si>
    <t>5.366449999999998</t>
  </si>
  <si>
    <t>5.430099999999998</t>
  </si>
  <si>
    <t>5.498849999999997</t>
  </si>
  <si>
    <t>5.5657999999999985</t>
  </si>
  <si>
    <t>5.632599999999997</t>
  </si>
  <si>
    <t>5.699349999999998</t>
  </si>
  <si>
    <t>5.766099999999999</t>
  </si>
  <si>
    <t>5.833899999999999</t>
  </si>
  <si>
    <t>5.9033999999999995</t>
  </si>
  <si>
    <t>5.971399999999999</t>
  </si>
  <si>
    <t>6.039649999999999</t>
  </si>
  <si>
    <t>6.106099999999999</t>
  </si>
  <si>
    <t>6.17205</t>
  </si>
  <si>
    <t>6.238099999999998</t>
  </si>
  <si>
    <t>6.3039999999999985</t>
  </si>
  <si>
    <t>6.368049999999998</t>
  </si>
  <si>
    <t>6.42805</t>
  </si>
  <si>
    <t>6.478349999999999</t>
  </si>
  <si>
    <t>6.529299999999999</t>
  </si>
  <si>
    <t>6.578899999999999</t>
  </si>
  <si>
    <t>6.616399999999999</t>
  </si>
  <si>
    <t>6.653449999999999</t>
  </si>
  <si>
    <t>6.690399999999999</t>
  </si>
  <si>
    <t>6.736999999999999</t>
  </si>
  <si>
    <t>6.784849999999999</t>
  </si>
  <si>
    <t>6.829999999999999</t>
  </si>
  <si>
    <t>6.874549999999998</t>
  </si>
  <si>
    <t>6.921449999999998</t>
  </si>
  <si>
    <t>6.972449999999998</t>
  </si>
  <si>
    <t>7.026749999999997</t>
  </si>
  <si>
    <t>7.079849999999997</t>
  </si>
  <si>
    <t>7.132049999999998</t>
  </si>
  <si>
    <t>7.184249999999999</t>
  </si>
  <si>
    <t>7.238699999999999</t>
  </si>
  <si>
    <t>7.292449999999999</t>
  </si>
  <si>
    <t>7.345699999999999</t>
  </si>
  <si>
    <t>7.397299999999999</t>
  </si>
  <si>
    <t>7.448449999999999</t>
  </si>
  <si>
    <t>7.498849999999999</t>
  </si>
  <si>
    <t>7.544549999999999</t>
  </si>
  <si>
    <t>7.583499999999999</t>
  </si>
  <si>
    <t>7.62215</t>
  </si>
  <si>
    <t>7.6622</t>
  </si>
  <si>
    <t>7.702050000000001</t>
  </si>
  <si>
    <t>7.7410000000000005</t>
  </si>
  <si>
    <t>7.77745</t>
  </si>
  <si>
    <t>7.813299999999999</t>
  </si>
  <si>
    <t>7.8502</t>
  </si>
  <si>
    <t>7.8876</t>
  </si>
  <si>
    <t>7.92325</t>
  </si>
  <si>
    <t>7.95615</t>
  </si>
  <si>
    <t>7.9853499999999995</t>
  </si>
  <si>
    <t>8.015949999999998</t>
  </si>
  <si>
    <t>8.0457</t>
  </si>
  <si>
    <t>8.06805</t>
  </si>
  <si>
    <t>8.088799999999999</t>
  </si>
  <si>
    <t>8.1146</t>
  </si>
  <si>
    <t>8.140049999999999</t>
  </si>
  <si>
    <t>8.1642</t>
  </si>
  <si>
    <t>8.187249999999999</t>
  </si>
  <si>
    <t>8.20745</t>
  </si>
  <si>
    <t>8.2271</t>
  </si>
  <si>
    <t>8.246199999999998</t>
  </si>
  <si>
    <t>8.267149999999997</t>
  </si>
  <si>
    <t>8.288849999999998</t>
  </si>
  <si>
    <t>8.314799999999998</t>
  </si>
  <si>
    <t>8.338499999999996</t>
  </si>
  <si>
    <t>8.361699999999997</t>
  </si>
  <si>
    <t>8.385199999999996</t>
  </si>
  <si>
    <t>8.407899999999998</t>
  </si>
  <si>
    <t>8.430249999999996</t>
  </si>
  <si>
    <t>8.450549999999998</t>
  </si>
  <si>
    <t>8.470299999999996</t>
  </si>
  <si>
    <t>8.489499999999998</t>
  </si>
  <si>
    <t>8.508499999999996</t>
  </si>
  <si>
    <t>8.529099999999998</t>
  </si>
  <si>
    <t>8.549949999999997</t>
  </si>
  <si>
    <t>8.570599999999997</t>
  </si>
  <si>
    <t>8.591099999999997</t>
  </si>
  <si>
    <t>8.611749999999999</t>
  </si>
  <si>
    <t>8.632249999999997</t>
  </si>
  <si>
    <t>8.651799999999998</t>
  </si>
  <si>
    <t>8.669499999999998</t>
  </si>
  <si>
    <t>8.685749999999997</t>
  </si>
  <si>
    <t>8.702549999999997</t>
  </si>
  <si>
    <t>8.718649999999998</t>
  </si>
  <si>
    <t>8.733999999999998</t>
  </si>
  <si>
    <t>8.749999999999998</t>
  </si>
  <si>
    <t>8.766249999999996</t>
  </si>
  <si>
    <t>8.782199999999996</t>
  </si>
  <si>
    <t>8.797699999999997</t>
  </si>
  <si>
    <t>8.811949999999998</t>
  </si>
  <si>
    <t>8.822249999999999</t>
  </si>
  <si>
    <t>8.831449999999997</t>
  </si>
  <si>
    <t>8.838899999999997</t>
  </si>
  <si>
    <t>8.846549999999997</t>
  </si>
  <si>
    <t>8.855799999999995</t>
  </si>
  <si>
    <t>8.867499999999996</t>
  </si>
  <si>
    <t>8.879299999999995</t>
  </si>
  <si>
    <t>8.889599999999996</t>
  </si>
  <si>
    <t>8.899499999999996</t>
  </si>
  <si>
    <t>8.909549999999996</t>
  </si>
  <si>
    <t>8.920449999999995</t>
  </si>
  <si>
    <t>8.932149999999996</t>
  </si>
  <si>
    <t>8.945599999999995</t>
  </si>
  <si>
    <t>8.957849999999997</t>
  </si>
  <si>
    <t>8.969049999999996</t>
  </si>
  <si>
    <t>8.979999999999997</t>
  </si>
  <si>
    <t>8.990949999999996</t>
  </si>
  <si>
    <t>9.001599999999996</t>
  </si>
  <si>
    <t>9.011499999999998</t>
  </si>
  <si>
    <t>9.020649999999996</t>
  </si>
  <si>
    <t>9.029649999999997</t>
  </si>
  <si>
    <t>9.038749999999999</t>
  </si>
  <si>
    <t>9.047749999999997</t>
  </si>
  <si>
    <t>9.054999999999996</t>
  </si>
  <si>
    <t>9.060999999999996</t>
  </si>
  <si>
    <t>9.067949999999996</t>
  </si>
  <si>
    <t>9.074899999999996</t>
  </si>
  <si>
    <t>9.080449999999995</t>
  </si>
  <si>
    <t>9.082849999999997</t>
  </si>
  <si>
    <t>9.081399999999995</t>
  </si>
  <si>
    <t>9.077249999999996</t>
  </si>
  <si>
    <t>9.072699999999996</t>
  </si>
  <si>
    <t>9.067199999999996</t>
  </si>
  <si>
    <t>9.061449999999997</t>
  </si>
  <si>
    <t>9.055649999999996</t>
  </si>
  <si>
    <t>9.049749999999996</t>
  </si>
  <si>
    <t>9.043899999999997</t>
  </si>
  <si>
    <t>9.037449999999996</t>
  </si>
  <si>
    <t>9.030699999999996</t>
  </si>
  <si>
    <t>9.024049999999995</t>
  </si>
  <si>
    <t>9.012749999999997</t>
  </si>
  <si>
    <t>8.998299999999997</t>
  </si>
  <si>
    <t>8.981699999999996</t>
  </si>
  <si>
    <t>8.958249999999998</t>
  </si>
  <si>
    <t>8.933499999999997</t>
  </si>
  <si>
    <t>8.915049999999997</t>
  </si>
  <si>
    <t>8.891699999999997</t>
  </si>
  <si>
    <t>8.868749999999995</t>
  </si>
  <si>
    <t>8.846799999999996</t>
  </si>
  <si>
    <t>8.826349999999996</t>
  </si>
  <si>
    <t>8.809849999999997</t>
  </si>
  <si>
    <t>8.794999999999996</t>
  </si>
  <si>
    <t>8.777399999999997</t>
  </si>
  <si>
    <t>8.756849999999996</t>
  </si>
  <si>
    <t>8.735899999999997</t>
  </si>
  <si>
    <t>8.711999999999996</t>
  </si>
  <si>
    <t>8.685149999999997</t>
  </si>
  <si>
    <t>8.657849999999996</t>
  </si>
  <si>
    <t>8.631199999999996</t>
  </si>
  <si>
    <t>8.605549999999996</t>
  </si>
  <si>
    <t>8.577849999999996</t>
  </si>
  <si>
    <t>8.549399999999997</t>
  </si>
  <si>
    <t>8.519349999999998</t>
  </si>
  <si>
    <t>8.485849999999997</t>
  </si>
  <si>
    <t>8.440299999999999</t>
  </si>
  <si>
    <t>8.377899999999999</t>
  </si>
  <si>
    <t>8.310249999999998</t>
  </si>
  <si>
    <t>8.237449999999999</t>
  </si>
  <si>
    <t>8.15755</t>
  </si>
  <si>
    <t>8.042</t>
  </si>
  <si>
    <t>7.9143</t>
  </si>
  <si>
    <t>7.81105</t>
  </si>
  <si>
    <t>7.7437000000000005</t>
  </si>
  <si>
    <t>7.68375</t>
  </si>
  <si>
    <t>7.60415</t>
  </si>
  <si>
    <t>7.530899999999999</t>
  </si>
  <si>
    <t>7.457999999999998</t>
  </si>
  <si>
    <t>7.389749999999998</t>
  </si>
  <si>
    <t>7.336949999999999</t>
  </si>
  <si>
    <t>7.2829999999999995</t>
  </si>
  <si>
    <t>7.22515</t>
  </si>
  <si>
    <t>7.1702499999999985</t>
  </si>
  <si>
    <t>7.115</t>
  </si>
  <si>
    <t>7.061300000000001</t>
  </si>
  <si>
    <t>7.0048</t>
  </si>
  <si>
    <t>6.947950000000002</t>
  </si>
  <si>
    <t>6.893150000000002</t>
  </si>
  <si>
    <t>6.848900000000002</t>
  </si>
  <si>
    <t>6.796900000000002</t>
  </si>
  <si>
    <t>6.745200000000002</t>
  </si>
  <si>
    <t>6.695300000000003</t>
  </si>
  <si>
    <t>6.646900000000003</t>
  </si>
  <si>
    <t>6.597600000000001</t>
  </si>
  <si>
    <t>6.549850000000001</t>
  </si>
  <si>
    <t>6.503350000000003</t>
  </si>
  <si>
    <t>6.463150000000002</t>
  </si>
  <si>
    <t>6.430600000000002</t>
  </si>
  <si>
    <t>6.388050000000002</t>
  </si>
  <si>
    <t>6.343700000000002</t>
  </si>
  <si>
    <t>6.3034500000000016</t>
  </si>
  <si>
    <t>6.260900000000003</t>
  </si>
  <si>
    <t>6.21345</t>
  </si>
  <si>
    <t>6.168049999999999</t>
  </si>
  <si>
    <t>6.125149999999998</t>
  </si>
  <si>
    <t>6.082399999999998</t>
  </si>
  <si>
    <t>6.040299999999998</t>
  </si>
  <si>
    <t>5.998449999999998</t>
  </si>
  <si>
    <t>5.959449999999999</t>
  </si>
  <si>
    <t>5.9228999999999985</t>
  </si>
  <si>
    <t>5.887349999999998</t>
  </si>
  <si>
    <t>5.8467499999999974</t>
  </si>
  <si>
    <t>5.806699999999999</t>
  </si>
  <si>
    <t>5.766149999999999</t>
  </si>
  <si>
    <t>5.725999999999999</t>
  </si>
  <si>
    <t>5.685999999999999</t>
  </si>
  <si>
    <t>5.64545</t>
  </si>
  <si>
    <t>5.6038</t>
  </si>
  <si>
    <t>5.562749999999999</t>
  </si>
  <si>
    <t>5.52095</t>
  </si>
  <si>
    <t>5.4796</t>
  </si>
  <si>
    <t>5.435549999999999</t>
  </si>
  <si>
    <t>5.390799999999998</t>
  </si>
  <si>
    <t>5.344149999999998</t>
  </si>
  <si>
    <t>5.300599999999999</t>
  </si>
  <si>
    <t>5.259999999999999</t>
  </si>
  <si>
    <t>5.229499999999998</t>
  </si>
  <si>
    <t>5.198449999999998</t>
  </si>
  <si>
    <t>5.168649999999999</t>
  </si>
  <si>
    <t>5.151750000000001</t>
  </si>
  <si>
    <t>5.13725</t>
  </si>
  <si>
    <t>5.1234</t>
  </si>
  <si>
    <t>5.099200000000001</t>
  </si>
  <si>
    <t>5.07395</t>
  </si>
  <si>
    <t>5.05125</t>
  </si>
  <si>
    <t>5.029</t>
  </si>
  <si>
    <t>5.0041</t>
  </si>
  <si>
    <t>4.97565</t>
  </si>
  <si>
    <t>4.9426000000000005</t>
  </si>
  <si>
    <t>4.9107</t>
  </si>
  <si>
    <t>4.880300000000001</t>
  </si>
  <si>
    <t>4.85045</t>
  </si>
  <si>
    <t>4.818300000000001</t>
  </si>
  <si>
    <t>4.785450000000001</t>
  </si>
  <si>
    <t>4.7529</t>
  </si>
  <si>
    <t>4.722200000000001</t>
  </si>
  <si>
    <t>4.691050000000001</t>
  </si>
  <si>
    <t>4.660800000000002</t>
  </si>
  <si>
    <t>4.635100000000001</t>
  </si>
  <si>
    <t>4.617600000000001</t>
  </si>
  <si>
    <t>4.601200000000001</t>
  </si>
  <si>
    <t>4.5828500000000005</t>
  </si>
  <si>
    <t>4.564850000000001</t>
  </si>
  <si>
    <t>4.5475</t>
  </si>
  <si>
    <t>4.53185</t>
  </si>
  <si>
    <t>4.51515</t>
  </si>
  <si>
    <t>4.4969</t>
  </si>
  <si>
    <t>4.4783</t>
  </si>
  <si>
    <t>4.4612</t>
  </si>
  <si>
    <t>4.44655</t>
  </si>
  <si>
    <t>4.4361500000000005</t>
  </si>
  <si>
    <t>4.423500000000001</t>
  </si>
  <si>
    <t>4.4127</t>
  </si>
  <si>
    <t>4.40945</t>
  </si>
  <si>
    <t>4.40825</t>
  </si>
  <si>
    <t>4.401599999999999</t>
  </si>
  <si>
    <t>4.39525</t>
  </si>
  <si>
    <t>4.3907</t>
  </si>
  <si>
    <t>4.386849999999999</t>
  </si>
  <si>
    <t>4.3866</t>
  </si>
  <si>
    <t>4.3870499999999995</t>
  </si>
  <si>
    <t>4.38775</t>
  </si>
  <si>
    <t>4.386699999999999</t>
  </si>
  <si>
    <t>4.38505</t>
  </si>
  <si>
    <t>4.378549999999999</t>
  </si>
  <si>
    <t>4.373999999999999</t>
  </si>
  <si>
    <t>4.370299999999999</t>
  </si>
  <si>
    <t>4.366349999999998</t>
  </si>
  <si>
    <t>4.363699999999998</t>
  </si>
  <si>
    <t>4.361399999999999</t>
  </si>
  <si>
    <t>4.360899999999998</t>
  </si>
  <si>
    <t>4.3615499999999985</t>
  </si>
  <si>
    <t>4.362449999999998</t>
  </si>
  <si>
    <t>4.363499999999998</t>
  </si>
  <si>
    <t>4.363199999999998</t>
  </si>
  <si>
    <t>4.363299999999999</t>
  </si>
  <si>
    <t>4.364049999999999</t>
  </si>
  <si>
    <t>4.365449999999999</t>
  </si>
  <si>
    <t>4.367299999999999</t>
  </si>
  <si>
    <t>4.368899999999999</t>
  </si>
  <si>
    <t>4.371099999999999</t>
  </si>
  <si>
    <t>4.374949999999998</t>
  </si>
  <si>
    <t>4.380399999999998</t>
  </si>
  <si>
    <t>4.3847999999999985</t>
  </si>
  <si>
    <t>4.389649999999999</t>
  </si>
  <si>
    <t>4.394699999999999</t>
  </si>
  <si>
    <t>4.399049999999999</t>
  </si>
  <si>
    <t>4.40335</t>
  </si>
  <si>
    <t>4.408149999999999</t>
  </si>
  <si>
    <t>4.41405</t>
  </si>
  <si>
    <t>4.42125</t>
  </si>
  <si>
    <t>4.432549999999999</t>
  </si>
  <si>
    <t>4.444649999999998</t>
  </si>
  <si>
    <t>4.458449999999998</t>
  </si>
  <si>
    <t>4.4720499999999985</t>
  </si>
  <si>
    <t>4.484449999999998</t>
  </si>
  <si>
    <t>4.494599999999998</t>
  </si>
  <si>
    <t>4.503949999999999</t>
  </si>
  <si>
    <t>4.514499999999998</t>
  </si>
  <si>
    <t>4.525499999999998</t>
  </si>
  <si>
    <t>4.536499999999998</t>
  </si>
  <si>
    <t>4.546799999999998</t>
  </si>
  <si>
    <t>4.556199999999999</t>
  </si>
  <si>
    <t>4.563799999999998</t>
  </si>
  <si>
    <t>4.572249999999999</t>
  </si>
  <si>
    <t>4.581749999999999</t>
  </si>
  <si>
    <t>4.591249999999999</t>
  </si>
  <si>
    <t>4.600599999999999</t>
  </si>
  <si>
    <t>4.609899999999999</t>
  </si>
  <si>
    <t>4.6196</t>
  </si>
  <si>
    <t>4.6301499999999995</t>
  </si>
  <si>
    <t>4.640899999999999</t>
  </si>
  <si>
    <t>4.6514</t>
  </si>
  <si>
    <t>4.6613999999999995</t>
  </si>
  <si>
    <t>4.671800000000001</t>
  </si>
  <si>
    <t>4.683000000000001</t>
  </si>
  <si>
    <t>4.693650000000002</t>
  </si>
  <si>
    <t>4.7040000000000015</t>
  </si>
  <si>
    <t>4.71475</t>
  </si>
  <si>
    <t>4.728350000000001</t>
  </si>
  <si>
    <t>4.742900000000002</t>
  </si>
  <si>
    <t>4.756550000000002</t>
  </si>
  <si>
    <t>4.771550000000002</t>
  </si>
  <si>
    <t>4.787750000000002</t>
  </si>
  <si>
    <t>4.804050000000002</t>
  </si>
  <si>
    <t>4.820100000000002</t>
  </si>
  <si>
    <t>4.837000000000002</t>
  </si>
  <si>
    <t>4.853300000000002</t>
  </si>
  <si>
    <t>4.869000000000002</t>
  </si>
  <si>
    <t>4.884350000000003</t>
  </si>
  <si>
    <t>4.900100000000002</t>
  </si>
  <si>
    <t>4.916950000000003</t>
  </si>
  <si>
    <t>4.934050000000003</t>
  </si>
  <si>
    <t>4.952000000000003</t>
  </si>
  <si>
    <t>4.970300000000003</t>
  </si>
  <si>
    <t>4.987300000000002</t>
  </si>
  <si>
    <t>5.003350000000003</t>
  </si>
  <si>
    <t>5.020000000000002</t>
  </si>
  <si>
    <t>5.038350000000003</t>
  </si>
  <si>
    <t>5.0580000000000025</t>
  </si>
  <si>
    <t>5.076550000000003</t>
  </si>
  <si>
    <t>5.094050000000003</t>
  </si>
  <si>
    <t>5.1109500000000025</t>
  </si>
  <si>
    <t>5.1277000000000035</t>
  </si>
  <si>
    <t>5.144650000000002</t>
  </si>
  <si>
    <t>5.1620500000000025</t>
  </si>
  <si>
    <t>5.178850000000002</t>
  </si>
  <si>
    <t>5.195900000000003</t>
  </si>
  <si>
    <t>5.213050000000003</t>
  </si>
  <si>
    <t>5.230450000000002</t>
  </si>
  <si>
    <t>5.248000000000003</t>
  </si>
  <si>
    <t>5.264850000000003</t>
  </si>
  <si>
    <t>5.281400000000002</t>
  </si>
  <si>
    <t>5.298600000000002</t>
  </si>
  <si>
    <t>5.314700000000004</t>
  </si>
  <si>
    <t>5.328650000000003</t>
  </si>
  <si>
    <t>5.342850000000003</t>
  </si>
  <si>
    <t>5.358200000000003</t>
  </si>
  <si>
    <t>5.374150000000002</t>
  </si>
  <si>
    <t>5.390050000000001</t>
  </si>
  <si>
    <t>5.405750000000001</t>
  </si>
  <si>
    <t>5.423700000000002</t>
  </si>
  <si>
    <t>5.441550000000002</t>
  </si>
  <si>
    <t>5.458700000000001</t>
  </si>
  <si>
    <t>5.477850000000001</t>
  </si>
  <si>
    <t>5.49855</t>
  </si>
  <si>
    <t>5.520550000000001</t>
  </si>
  <si>
    <t>5.540450000000001</t>
  </si>
  <si>
    <t>5.555400000000001</t>
  </si>
  <si>
    <t>5.575000000000001</t>
  </si>
  <si>
    <t>5.591800000000002</t>
  </si>
  <si>
    <t>5.603100000000003</t>
  </si>
  <si>
    <t>5.612200000000001</t>
  </si>
  <si>
    <t>5.621500000000001</t>
  </si>
  <si>
    <t>5.630100000000002</t>
  </si>
  <si>
    <t>5.642150000000003</t>
  </si>
  <si>
    <t>5.6544000000000025</t>
  </si>
  <si>
    <t>5.664150000000002</t>
  </si>
  <si>
    <t>5.675050000000003</t>
  </si>
  <si>
    <t>5.688200000000004</t>
  </si>
  <si>
    <t>5.702250000000004</t>
  </si>
  <si>
    <t>5.718250000000004</t>
  </si>
  <si>
    <t>5.737650000000005</t>
  </si>
  <si>
    <t>5.762400000000005</t>
  </si>
  <si>
    <t>5.7855000000000025</t>
  </si>
  <si>
    <t>5.808950000000002</t>
  </si>
  <si>
    <t>5.830800000000003</t>
  </si>
  <si>
    <t>5.854400000000002</t>
  </si>
  <si>
    <t>5.879550000000002</t>
  </si>
  <si>
    <t>5.904950000000002</t>
  </si>
  <si>
    <t>5.930900000000001</t>
  </si>
  <si>
    <t>5.959600000000002</t>
  </si>
  <si>
    <t>5.990400000000002</t>
  </si>
  <si>
    <t>6.024350000000002</t>
  </si>
  <si>
    <t>6.059500000000002</t>
  </si>
  <si>
    <t>6.0982</t>
  </si>
  <si>
    <t>6.1372</t>
  </si>
  <si>
    <t>6.168849999999999</t>
  </si>
  <si>
    <t>6.185199999999998</t>
  </si>
  <si>
    <t>6.202599999999999</t>
  </si>
  <si>
    <t>6.223149999999999</t>
  </si>
  <si>
    <t>6.243099999999998</t>
  </si>
  <si>
    <t>6.264699999999998</t>
  </si>
  <si>
    <t>6.288249999999998</t>
  </si>
  <si>
    <t>6.312349999999998</t>
  </si>
  <si>
    <t>6.336899999999998</t>
  </si>
  <si>
    <t>6.364049999999999</t>
  </si>
  <si>
    <t>6.38915</t>
  </si>
  <si>
    <t>6.414849999999999</t>
  </si>
  <si>
    <t>6.4406</t>
  </si>
  <si>
    <t>6.464849999999999</t>
  </si>
  <si>
    <t>6.4913</t>
  </si>
  <si>
    <t>6.518599999999999</t>
  </si>
  <si>
    <t>6.54935</t>
  </si>
  <si>
    <t>6.578549999999999</t>
  </si>
  <si>
    <t>6.610849999999999</t>
  </si>
  <si>
    <t>6.6438</t>
  </si>
  <si>
    <t>6.6774499999999986</t>
  </si>
  <si>
    <t>6.710749999999998</t>
  </si>
  <si>
    <t>6.743699999999998</t>
  </si>
  <si>
    <t>6.774749999999998</t>
  </si>
  <si>
    <t>6.805299999999999</t>
  </si>
  <si>
    <t>6.836849999999998</t>
  </si>
  <si>
    <t>6.868749999999998</t>
  </si>
  <si>
    <t>6.901899999999999</t>
  </si>
  <si>
    <t>6.935999999999998</t>
  </si>
  <si>
    <t>6.971199999999998</t>
  </si>
  <si>
    <t>7.005899999999997</t>
  </si>
  <si>
    <t>7.0425999999999975</t>
  </si>
  <si>
    <t>7.081199999999998</t>
  </si>
  <si>
    <t>7.1195499999999985</t>
  </si>
  <si>
    <t>7.156199999999999</t>
  </si>
  <si>
    <t>7.192349999999999</t>
  </si>
  <si>
    <t>7.227699999999999</t>
  </si>
  <si>
    <t>7.263649999999999</t>
  </si>
  <si>
    <t>7.299499999999999</t>
  </si>
  <si>
    <t>7.33645</t>
  </si>
  <si>
    <t>7.373349999999999</t>
  </si>
  <si>
    <t>7.4105</t>
  </si>
  <si>
    <t>7.446549999999999</t>
  </si>
  <si>
    <t>7.481549999999999</t>
  </si>
  <si>
    <t>7.516449999999999</t>
  </si>
  <si>
    <t>7.552599999999999</t>
  </si>
  <si>
    <t>7.589799999999999</t>
  </si>
  <si>
    <t>7.627899999999999</t>
  </si>
  <si>
    <t>7.666899999999998</t>
  </si>
  <si>
    <t>7.705749999999998</t>
  </si>
  <si>
    <t>7.741749999999999</t>
  </si>
  <si>
    <t>7.7742499999999986</t>
  </si>
  <si>
    <t>7.810649999999998</t>
  </si>
  <si>
    <t>7.847449999999998</t>
  </si>
  <si>
    <t>7.884949999999998</t>
  </si>
  <si>
    <t>7.921899999999997</t>
  </si>
  <si>
    <t>7.957999999999998</t>
  </si>
  <si>
    <t>7.993149999999998</t>
  </si>
  <si>
    <t>8.027899999999999</t>
  </si>
  <si>
    <t>8.062949999999999</t>
  </si>
  <si>
    <t>8.097699999999998</t>
  </si>
  <si>
    <t>8.133049999999997</t>
  </si>
  <si>
    <t>8.167099999999998</t>
  </si>
  <si>
    <t>8.201049999999999</t>
  </si>
  <si>
    <t>8.234549999999997</t>
  </si>
  <si>
    <t>8.268299999999998</t>
  </si>
  <si>
    <t>8.302099999999998</t>
  </si>
  <si>
    <t>8.336199999999996</t>
  </si>
  <si>
    <t>8.367749999999996</t>
  </si>
  <si>
    <t>8.395399999999997</t>
  </si>
  <si>
    <t>8.423149999999996</t>
  </si>
  <si>
    <t>8.451399999999996</t>
  </si>
  <si>
    <t>8.480149999999997</t>
  </si>
  <si>
    <t>8.509399999999996</t>
  </si>
  <si>
    <t>8.539499999999997</t>
  </si>
  <si>
    <t>8.569499999999998</t>
  </si>
  <si>
    <t>8.597649999999996</t>
  </si>
  <si>
    <t>8.625299999999996</t>
  </si>
  <si>
    <t>8.652699999999996</t>
  </si>
  <si>
    <t>8.680199999999996</t>
  </si>
  <si>
    <t>8.707899999999997</t>
  </si>
  <si>
    <t>8.736149999999997</t>
  </si>
  <si>
    <t>8.764499999999996</t>
  </si>
  <si>
    <t>8.792949999999996</t>
  </si>
  <si>
    <t>8.821799999999996</t>
  </si>
  <si>
    <t>8.849799999999995</t>
  </si>
  <si>
    <t>8.879099999999996</t>
  </si>
  <si>
    <t>8.908499999999997</t>
  </si>
  <si>
    <t>8.938349999999996</t>
  </si>
  <si>
    <t>8.968849999999996</t>
  </si>
  <si>
    <t>9.001349999999997</t>
  </si>
  <si>
    <t>9.034749999999997</t>
  </si>
  <si>
    <t>9.067799999999998</t>
  </si>
  <si>
    <t>9.100749999999998</t>
  </si>
  <si>
    <t>9.133599999999998</t>
  </si>
  <si>
    <t>9.16685</t>
  </si>
  <si>
    <t>9.201799999999999</t>
  </si>
  <si>
    <t>9.2379</t>
  </si>
  <si>
    <t>9.2745</t>
  </si>
  <si>
    <t>9.3116</t>
  </si>
  <si>
    <t>9.348549999999998</t>
  </si>
  <si>
    <t>9.384299999999998</t>
  </si>
  <si>
    <t>9.420849999999998</t>
  </si>
  <si>
    <t>9.45805</t>
  </si>
  <si>
    <t>9.4957</t>
  </si>
  <si>
    <t>9.5334</t>
  </si>
  <si>
    <t>9.570649999999999</t>
  </si>
  <si>
    <t>9.607899999999999</t>
  </si>
  <si>
    <t>9.64735</t>
  </si>
  <si>
    <t>9.68815</t>
  </si>
  <si>
    <t>9.729499999999998</t>
  </si>
  <si>
    <t>9.770749999999998</t>
  </si>
  <si>
    <t>9.812549999999998</t>
  </si>
  <si>
    <t>9.853049999999998</t>
  </si>
  <si>
    <t>9.894299999999998</t>
  </si>
  <si>
    <t>9.93615</t>
  </si>
  <si>
    <t>9.978549999999998</t>
  </si>
  <si>
    <t>10.021249999999998</t>
  </si>
  <si>
    <t>10.063549999999998</t>
  </si>
  <si>
    <t>10.105599999999997</t>
  </si>
  <si>
    <t>10.146699999999997</t>
  </si>
  <si>
    <t>10.186849999999998</t>
  </si>
  <si>
    <t>10.226699999999997</t>
  </si>
  <si>
    <t>10.267349999999997</t>
  </si>
  <si>
    <t>10.308649999999998</t>
  </si>
  <si>
    <t>10.349749999999997</t>
  </si>
  <si>
    <t>10.389649999999996</t>
  </si>
  <si>
    <t>10.428549999999998</t>
  </si>
  <si>
    <t>10.4678</t>
  </si>
  <si>
    <t>10.5062</t>
  </si>
  <si>
    <t>10.544849999999999</t>
  </si>
  <si>
    <t>10.58415</t>
  </si>
  <si>
    <t>10.6236</t>
  </si>
  <si>
    <t>10.662849999999999</t>
  </si>
  <si>
    <t>10.700649999999998</t>
  </si>
  <si>
    <t>10.738449999999998</t>
  </si>
  <si>
    <t>10.774499999999998</t>
  </si>
  <si>
    <t>10.808699999999998</t>
  </si>
  <si>
    <t>10.84375</t>
  </si>
  <si>
    <t>10.879349999999999</t>
  </si>
  <si>
    <t>10.914100000000001</t>
  </si>
  <si>
    <t>10.9482</t>
  </si>
  <si>
    <t>10.982000000000001</t>
  </si>
  <si>
    <t>11.017399999999999</t>
  </si>
  <si>
    <t>11.053449999999998</t>
  </si>
  <si>
    <t>11.09165</t>
  </si>
  <si>
    <t>11.130649999999997</t>
  </si>
  <si>
    <t>11.169500000000001</t>
  </si>
  <si>
    <t>11.207350000000002</t>
  </si>
  <si>
    <t>11.245500000000002</t>
  </si>
  <si>
    <t>11.283500000000002</t>
  </si>
  <si>
    <t>11.322750000000001</t>
  </si>
  <si>
    <t>11.365450000000001</t>
  </si>
  <si>
    <t>11.410249999999998</t>
  </si>
  <si>
    <t>11.454749999999999</t>
  </si>
  <si>
    <t>11.500599999999999</t>
  </si>
  <si>
    <t>11.549149999999997</t>
  </si>
  <si>
    <t>11.601649999999998</t>
  </si>
  <si>
    <t>11.653849999999995</t>
  </si>
  <si>
    <t>11.708849999999995</t>
  </si>
  <si>
    <t>11.757999999999996</t>
  </si>
  <si>
    <t>11.808199999999998</t>
  </si>
  <si>
    <t>11.860549999999996</t>
  </si>
  <si>
    <t>11.915599999999998</t>
  </si>
  <si>
    <t>11.973149999999997</t>
  </si>
  <si>
    <t>12.032349999999997</t>
  </si>
  <si>
    <t>12.097149999999997</t>
  </si>
  <si>
    <t>12.160399999999997</t>
  </si>
  <si>
    <t>12.216149999999997</t>
  </si>
  <si>
    <t>12.272249999999996</t>
  </si>
  <si>
    <t>12.328899999999997</t>
  </si>
  <si>
    <t>12.390549999999996</t>
  </si>
  <si>
    <t>12.451399999999996</t>
  </si>
  <si>
    <t>12.516099999999996</t>
  </si>
  <si>
    <t>12.585799999999997</t>
  </si>
  <si>
    <t>12.658699999999996</t>
  </si>
  <si>
    <t>12.732849999999996</t>
  </si>
  <si>
    <t>12.809299999999997</t>
  </si>
  <si>
    <t>12.890199999999998</t>
  </si>
  <si>
    <t>12.973299999999997</t>
  </si>
  <si>
    <t>13.056549999999998</t>
  </si>
  <si>
    <t>13.146699999999996</t>
  </si>
  <si>
    <t>13.235849999999997</t>
  </si>
  <si>
    <t>13.32075</t>
  </si>
  <si>
    <t>13.403899999999998</t>
  </si>
  <si>
    <t>13.491249999999997</t>
  </si>
  <si>
    <t>13.58365</t>
  </si>
  <si>
    <t>13.679049999999997</t>
  </si>
  <si>
    <t>13.776899999999998</t>
  </si>
  <si>
    <t>13.867699999999997</t>
  </si>
  <si>
    <t>13.961399999999996</t>
  </si>
  <si>
    <t>14.054999999999998</t>
  </si>
  <si>
    <t>14.152899999999995</t>
  </si>
  <si>
    <t>14.250849999999996</t>
  </si>
  <si>
    <t>14.356099999999996</t>
  </si>
  <si>
    <t>14.468299999999997</t>
  </si>
  <si>
    <t>14.577199999999996</t>
  </si>
  <si>
    <t>14.684249999999997</t>
  </si>
  <si>
    <t>14.794599999999997</t>
  </si>
  <si>
    <t>14.92445</t>
  </si>
  <si>
    <t>15.091049999999997</t>
  </si>
  <si>
    <t>15.249949999999997</t>
  </si>
  <si>
    <t>15.417799999999998</t>
  </si>
  <si>
    <t>15.594049999999998</t>
  </si>
  <si>
    <t>15.777949999999997</t>
  </si>
  <si>
    <t>15.964999999999996</t>
  </si>
  <si>
    <t>16.131949999999996</t>
  </si>
  <si>
    <t>16.31055</t>
  </si>
  <si>
    <t>16.493199999999998</t>
  </si>
  <si>
    <t>16.670699999999997</t>
  </si>
  <si>
    <t>16.84885</t>
  </si>
  <si>
    <t>17.0289</t>
  </si>
  <si>
    <t>17.2183</t>
  </si>
  <si>
    <t>17.442999999999998</t>
  </si>
  <si>
    <t>17.702299999999997</t>
  </si>
  <si>
    <t>17.99655</t>
  </si>
  <si>
    <t>18.297099999999997</t>
  </si>
  <si>
    <t>18.558099999999996</t>
  </si>
  <si>
    <t>18.847549999999995</t>
  </si>
  <si>
    <t>19.162949999999995</t>
  </si>
  <si>
    <t>19.493599999999994</t>
  </si>
  <si>
    <t>19.863049999999998</t>
  </si>
  <si>
    <t>20.245349999999995</t>
  </si>
  <si>
    <t>20.634249999999998</t>
  </si>
  <si>
    <t>21.0366</t>
  </si>
  <si>
    <t>21.443599999999996</t>
  </si>
  <si>
    <t>21.884599999999995</t>
  </si>
  <si>
    <t>22.363099999999996</t>
  </si>
  <si>
    <t>22.943949999999994</t>
  </si>
  <si>
    <t>23.539999999999996</t>
  </si>
  <si>
    <t>24.172849999999997</t>
  </si>
  <si>
    <t>24.815899999999996</t>
  </si>
  <si>
    <t>25.5179</t>
  </si>
  <si>
    <t>26.3575</t>
  </si>
  <si>
    <t>27.364800000000006</t>
  </si>
  <si>
    <t>28.212100000000007</t>
  </si>
  <si>
    <t>28.8119</t>
  </si>
  <si>
    <t>29.174550000000004</t>
  </si>
  <si>
    <t>29.657000000000004</t>
  </si>
  <si>
    <t>30.082000000000004</t>
  </si>
  <si>
    <t>30.4552</t>
  </si>
  <si>
    <t>30.720650000000006</t>
  </si>
  <si>
    <t>31.08310000000001</t>
  </si>
  <si>
    <t>31.50525000000001</t>
  </si>
  <si>
    <t>32.03615000000001</t>
  </si>
  <si>
    <t>32.58785000000001</t>
  </si>
  <si>
    <t>33.12055000000001</t>
  </si>
  <si>
    <t>33.66610000000001</t>
  </si>
  <si>
    <t>34.26695000000001</t>
  </si>
  <si>
    <t>34.95620000000001</t>
  </si>
  <si>
    <t>35.60920000000001</t>
  </si>
  <si>
    <t>36.21170000000001</t>
  </si>
  <si>
    <t>36.80435000000001</t>
  </si>
  <si>
    <t>37.405800000000006</t>
  </si>
  <si>
    <t>38.05095000000001</t>
  </si>
  <si>
    <t>38.685700000000004</t>
  </si>
  <si>
    <t>39.230650000000004</t>
  </si>
  <si>
    <t>39.7048</t>
  </si>
  <si>
    <t>40.10315000000001</t>
  </si>
  <si>
    <t>40.577450000000006</t>
  </si>
  <si>
    <t>41.0857</t>
  </si>
  <si>
    <t>41.61160000000001</t>
  </si>
  <si>
    <t>42.08610000000001</t>
  </si>
  <si>
    <t>42.59235</t>
  </si>
  <si>
    <t>43.09005</t>
  </si>
  <si>
    <t>43.6183</t>
  </si>
  <si>
    <t>44.13605</t>
  </si>
  <si>
    <t>44.6492</t>
  </si>
  <si>
    <t>45.1758</t>
  </si>
  <si>
    <t>45.69604999999999</t>
  </si>
  <si>
    <t>46.1923</t>
  </si>
  <si>
    <t>46.7108</t>
  </si>
  <si>
    <t>47.25724999999999</t>
  </si>
  <si>
    <t>47.81354999999999</t>
  </si>
  <si>
    <t>48.35899999999999</t>
  </si>
  <si>
    <t>48.90674999999998</t>
  </si>
  <si>
    <t>49.454349999999984</t>
  </si>
  <si>
    <t>50.00674999999998</t>
  </si>
  <si>
    <t>50.57174999999997</t>
  </si>
  <si>
    <t>51.162599999999976</t>
  </si>
  <si>
    <t>51.75829999999997</t>
  </si>
  <si>
    <t>52.36849999999997</t>
  </si>
  <si>
    <t>52.958949999999966</t>
  </si>
  <si>
    <t>53.54079999999997</t>
  </si>
  <si>
    <t>54.13349999999998</t>
  </si>
  <si>
    <t>54.725449999999974</t>
  </si>
  <si>
    <t>55.310549999999985</t>
  </si>
  <si>
    <t>55.89629999999998</t>
  </si>
  <si>
    <t>56.451349999999984</t>
  </si>
  <si>
    <t>56.991749999999996</t>
  </si>
  <si>
    <t>57.53904999999999</t>
  </si>
  <si>
    <t>58.08639999999998</t>
  </si>
  <si>
    <t>58.62664999999999</t>
  </si>
  <si>
    <t>59.13004999999999</t>
  </si>
  <si>
    <t>59.61699999999998</t>
  </si>
  <si>
    <t>60.048549999999985</t>
  </si>
  <si>
    <t>60.51179999999999</t>
  </si>
  <si>
    <t>60.98469999999998</t>
  </si>
  <si>
    <t>61.467249999999986</t>
  </si>
  <si>
    <t>61.93034999999999</t>
  </si>
  <si>
    <t>62.37134999999999</t>
  </si>
  <si>
    <t>62.81289999999999</t>
  </si>
  <si>
    <t>63.25124999999999</t>
  </si>
  <si>
    <t>63.69289999999998</t>
  </si>
  <si>
    <t>64.16469999999998</t>
  </si>
  <si>
    <t>64.6368</t>
  </si>
  <si>
    <t>65.12445</t>
  </si>
  <si>
    <t>65.60249999999999</t>
  </si>
  <si>
    <t>66.06269999999999</t>
  </si>
  <si>
    <t>66.52109999999999</t>
  </si>
  <si>
    <t>66.961</t>
  </si>
  <si>
    <t>67.41265</t>
  </si>
  <si>
    <t>67.85685000000001</t>
  </si>
  <si>
    <t>68.2937</t>
  </si>
  <si>
    <t>68.7022</t>
  </si>
  <si>
    <t>69.11025</t>
  </si>
  <si>
    <t>69.5137</t>
  </si>
  <si>
    <t>69.89075</t>
  </si>
  <si>
    <t>70.26355</t>
  </si>
  <si>
    <t>70.60974999999999</t>
  </si>
  <si>
    <t>70.9325</t>
  </si>
  <si>
    <t>71.2207</t>
  </si>
  <si>
    <t>71.49994999999998</t>
  </si>
  <si>
    <t>71.78455</t>
  </si>
  <si>
    <t>72.09729999999999</t>
  </si>
  <si>
    <t>72.40249999999997</t>
  </si>
  <si>
    <t>72.74114999999999</t>
  </si>
  <si>
    <t>73.10714999999999</t>
  </si>
  <si>
    <t>73.51579999999998</t>
  </si>
  <si>
    <t>73.90834999999998</t>
  </si>
  <si>
    <t>74.31169999999997</t>
  </si>
  <si>
    <t>74.72764999999998</t>
  </si>
  <si>
    <t>75.13674999999998</t>
  </si>
  <si>
    <t>75.54599999999998</t>
  </si>
  <si>
    <t>75.92049999999998</t>
  </si>
  <si>
    <t>76.30154999999996</t>
  </si>
  <si>
    <t>76.68044999999998</t>
  </si>
  <si>
    <t>77.05289999999998</t>
  </si>
  <si>
    <t>77.42794999999998</t>
  </si>
  <si>
    <t>77.81554999999999</t>
  </si>
  <si>
    <t>78.20399999999998</t>
  </si>
  <si>
    <t>78.60389999999998</t>
  </si>
  <si>
    <t>79.00234999999996</t>
  </si>
  <si>
    <t>79.39764999999997</t>
  </si>
  <si>
    <t>79.81339999999997</t>
  </si>
  <si>
    <t>80.23079999999997</t>
  </si>
  <si>
    <t>80.66104999999997</t>
  </si>
  <si>
    <t>81.11269999999996</t>
  </si>
  <si>
    <t>81.54954999999997</t>
  </si>
  <si>
    <t>81.98524999999997</t>
  </si>
  <si>
    <t>82.41549999999995</t>
  </si>
  <si>
    <t>82.84699999999997</t>
  </si>
  <si>
    <t>83.28084999999997</t>
  </si>
  <si>
    <t>83.71319999999997</t>
  </si>
  <si>
    <t>84.14004999999997</t>
  </si>
  <si>
    <t>84.55784999999997</t>
  </si>
  <si>
    <t>84.96364999999996</t>
  </si>
  <si>
    <t>85.36294999999997</t>
  </si>
  <si>
    <t>85.77879999999996</t>
  </si>
  <si>
    <t>86.20014999999995</t>
  </si>
  <si>
    <t>86.62774999999996</t>
  </si>
  <si>
    <t>87.08314999999995</t>
  </si>
  <si>
    <t>87.52169999999995</t>
  </si>
  <si>
    <t>87.95019999999997</t>
  </si>
  <si>
    <t>88.39029999999997</t>
  </si>
  <si>
    <t>88.83839999999996</t>
  </si>
  <si>
    <t>89.30029999999995</t>
  </si>
  <si>
    <t>89.76749999999994</t>
  </si>
  <si>
    <t>90.24609999999996</t>
  </si>
  <si>
    <t>90.72349999999994</t>
  </si>
  <si>
    <t>91.19304999999994</t>
  </si>
  <si>
    <t>91.66299999999995</t>
  </si>
  <si>
    <t>92.13124999999995</t>
  </si>
  <si>
    <t>92.60114999999996</t>
  </si>
  <si>
    <t>93.10934999999996</t>
  </si>
  <si>
    <t>93.60999999999996</t>
  </si>
  <si>
    <t>94.10509999999996</t>
  </si>
  <si>
    <t>94.64229999999996</t>
  </si>
  <si>
    <t>95.19849999999995</t>
  </si>
  <si>
    <t>95.75899999999996</t>
  </si>
  <si>
    <t>96.31404999999995</t>
  </si>
  <si>
    <t>96.84404999999995</t>
  </si>
  <si>
    <t>97.34684999999996</t>
  </si>
  <si>
    <t>97.81239999999997</t>
  </si>
  <si>
    <t>98.29294999999996</t>
  </si>
  <si>
    <t>98.75159999999997</t>
  </si>
  <si>
    <t>99.23409999999996</t>
  </si>
  <si>
    <t>99.71304999999997</t>
  </si>
  <si>
    <t>100.20734999999996</t>
  </si>
  <si>
    <t>100.72539999999998</t>
  </si>
  <si>
    <t>101.24429999999997</t>
  </si>
  <si>
    <t>101.73249999999999</t>
  </si>
  <si>
    <t>102.21904999999997</t>
  </si>
  <si>
    <t>102.71214999999997</t>
  </si>
  <si>
    <t>103.20084999999997</t>
  </si>
  <si>
    <t>103.6883</t>
  </si>
  <si>
    <t>104.16994999999999</t>
  </si>
  <si>
    <t>104.64414999999997</t>
  </si>
  <si>
    <t>105.10429999999998</t>
  </si>
  <si>
    <t>105.54264999999998</t>
  </si>
  <si>
    <t>105.95174999999999</t>
  </si>
  <si>
    <t>106.37629999999997</t>
  </si>
  <si>
    <t>106.79719999999998</t>
  </si>
  <si>
    <t>107.20929999999998</t>
  </si>
  <si>
    <t>107.62709999999997</t>
  </si>
  <si>
    <t>108.04914999999997</t>
  </si>
  <si>
    <t>108.51079999999996</t>
  </si>
  <si>
    <t>108.94434999999996</t>
  </si>
  <si>
    <t>109.37614999999997</t>
  </si>
  <si>
    <t>109.80654999999996</t>
  </si>
  <si>
    <t>110.17824999999995</t>
  </si>
  <si>
    <t>110.58849999999995</t>
  </si>
  <si>
    <t>110.98199999999997</t>
  </si>
  <si>
    <t>111.34324999999997</t>
  </si>
  <si>
    <t>111.67329999999997</t>
  </si>
  <si>
    <t>111.96169999999996</t>
  </si>
  <si>
    <t>112.26489999999995</t>
  </si>
  <si>
    <t>112.60444999999996</t>
  </si>
  <si>
    <t>112.91469999999995</t>
  </si>
  <si>
    <t>113.21304999999995</t>
  </si>
  <si>
    <t>113.51084999999993</t>
  </si>
  <si>
    <t>113.78684999999996</t>
  </si>
  <si>
    <t>114.07509999999996</t>
  </si>
  <si>
    <t>114.35514999999995</t>
  </si>
  <si>
    <t>114.63424999999995</t>
  </si>
  <si>
    <t>114.94509999999997</t>
  </si>
  <si>
    <t>115.28734999999993</t>
  </si>
  <si>
    <t>115.59914999999995</t>
  </si>
  <si>
    <t>115.87409999999994</t>
  </si>
  <si>
    <t>116.19119999999995</t>
  </si>
  <si>
    <t>116.54354999999995</t>
  </si>
  <si>
    <t>116.81954999999996</t>
  </si>
  <si>
    <t>116.95834999999995</t>
  </si>
  <si>
    <t>116.94504999999995</t>
  </si>
  <si>
    <t>116.85619999999996</t>
  </si>
  <si>
    <t>116.95499999999991</t>
  </si>
  <si>
    <t>117.30524999999993</t>
  </si>
  <si>
    <t>117.90689999999991</t>
  </si>
  <si>
    <t>118.3829499999999</t>
  </si>
  <si>
    <t>118.9256999999999</t>
  </si>
  <si>
    <t>119.53374999999991</t>
  </si>
  <si>
    <t>120.2434999999999</t>
  </si>
  <si>
    <t>120.9051999999999</t>
  </si>
  <si>
    <t>121.59294999999992</t>
  </si>
  <si>
    <t>122.28804999999991</t>
  </si>
  <si>
    <t>123.13404999999992</t>
  </si>
  <si>
    <t>124.1212499999999</t>
  </si>
  <si>
    <t>125.37604999999992</t>
  </si>
  <si>
    <t>126.40349999999994</t>
  </si>
  <si>
    <t>127.34789999999994</t>
  </si>
  <si>
    <t>128.51924999999994</t>
  </si>
  <si>
    <t>129.77569999999997</t>
  </si>
  <si>
    <t>131.25114999999997</t>
  </si>
  <si>
    <t>132.72954999999996</t>
  </si>
  <si>
    <t>134.22609999999997</t>
  </si>
  <si>
    <t>135.93829999999997</t>
  </si>
  <si>
    <t>138.31309999999996</t>
  </si>
  <si>
    <t>141.81695</t>
  </si>
  <si>
    <t>144.19819999999996</t>
  </si>
  <si>
    <t>147.04444999999998</t>
  </si>
  <si>
    <t>150.26784999999998</t>
  </si>
  <si>
    <t>154.16715</t>
  </si>
  <si>
    <t>157.70065</t>
  </si>
  <si>
    <t>161.35689999999997</t>
  </si>
  <si>
    <t>165.04019999999997</t>
  </si>
  <si>
    <t>168.99659999999997</t>
  </si>
  <si>
    <t>173.48144999999997</t>
  </si>
  <si>
    <t>178.55734999999996</t>
  </si>
  <si>
    <t>183.89359999999994</t>
  </si>
  <si>
    <t>188.84139999999996</t>
  </si>
  <si>
    <t>193.46579999999997</t>
  </si>
  <si>
    <t>198.13414999999998</t>
  </si>
  <si>
    <t>202.98664999999997</t>
  </si>
  <si>
    <t>207.23984999999996</t>
  </si>
  <si>
    <t>211.72459999999998</t>
  </si>
  <si>
    <t>214.53945</t>
  </si>
  <si>
    <t>217.90535</t>
  </si>
  <si>
    <t>221.76154999999994</t>
  </si>
  <si>
    <t>225.81669999999997</t>
  </si>
  <si>
    <t>229.88084999999995</t>
  </si>
  <si>
    <t>233.63565</t>
  </si>
  <si>
    <t>237.58425</t>
  </si>
  <si>
    <t>241.38299999999998</t>
  </si>
  <si>
    <t>244.9225</t>
  </si>
  <si>
    <t>248.3387</t>
  </si>
  <si>
    <t>251.1034</t>
  </si>
  <si>
    <t>252.86365</t>
  </si>
  <si>
    <t>255.15649999999997</t>
  </si>
  <si>
    <t>257.92365</t>
  </si>
  <si>
    <t>260.3963</t>
  </si>
  <si>
    <t>262.9708</t>
  </si>
  <si>
    <t>265.50345</t>
  </si>
  <si>
    <t>268.15110000000004</t>
  </si>
  <si>
    <t>270.88160000000005</t>
  </si>
  <si>
    <t>273.83470000000005</t>
  </si>
  <si>
    <t>277.0708000000001</t>
  </si>
  <si>
    <t>280.19825000000003</t>
  </si>
  <si>
    <t>283.23940000000005</t>
  </si>
  <si>
    <t>286.36220000000003</t>
  </si>
  <si>
    <t>289.4870000000001</t>
  </si>
  <si>
    <t>292.7297500000001</t>
  </si>
  <si>
    <t>295.9274000000001</t>
  </si>
  <si>
    <t>299.4529500000001</t>
  </si>
  <si>
    <t>302.94910000000004</t>
  </si>
  <si>
    <t>306.65540000000004</t>
  </si>
  <si>
    <t>310.98560000000003</t>
  </si>
  <si>
    <t>315.01745000000005</t>
  </si>
  <si>
    <t>318.69500000000005</t>
  </si>
  <si>
    <t>322.31020000000007</t>
  </si>
  <si>
    <t>325.94820000000004</t>
  </si>
  <si>
    <t>329.9456500000001</t>
  </si>
  <si>
    <t>333.71975000000003</t>
  </si>
  <si>
    <t>337.28275</t>
  </si>
  <si>
    <t>340.95115000000004</t>
  </si>
  <si>
    <t>344.61930000000007</t>
  </si>
  <si>
    <t>348.4054</t>
  </si>
  <si>
    <t>352.0642</t>
  </si>
  <si>
    <t>355.64465</t>
  </si>
  <si>
    <t>359.28245000000004</t>
  </si>
  <si>
    <t>363.10945</t>
  </si>
  <si>
    <t>366.95655000000005</t>
  </si>
  <si>
    <t>370.81105</t>
  </si>
  <si>
    <t>374.6021500000001</t>
  </si>
  <si>
    <t>378.3379000000001</t>
  </si>
  <si>
    <t>381.8896000000001</t>
  </si>
  <si>
    <t>385.6135500000001</t>
  </si>
  <si>
    <t>389.45145</t>
  </si>
  <si>
    <t>392.8877500000001</t>
  </si>
  <si>
    <t>396.49930000000006</t>
  </si>
  <si>
    <t>400.18410000000006</t>
  </si>
  <si>
    <t>403.75660000000005</t>
  </si>
  <si>
    <t>407.4122000000001</t>
  </si>
  <si>
    <t>411.11905000000013</t>
  </si>
  <si>
    <t>414.7794000000001</t>
  </si>
  <si>
    <t>418.4650000000001</t>
  </si>
  <si>
    <t>422.1675000000001</t>
  </si>
  <si>
    <t>425.82175</t>
  </si>
  <si>
    <t>429.30145000000005</t>
  </si>
  <si>
    <t>432.48220000000003</t>
  </si>
  <si>
    <t>435.4258500000001</t>
  </si>
  <si>
    <t>438.41285000000005</t>
  </si>
  <si>
    <t>441.3384500000001</t>
  </si>
  <si>
    <t>444.22030000000007</t>
  </si>
  <si>
    <t>447.05510000000004</t>
  </si>
  <si>
    <t>449.65115000000003</t>
  </si>
  <si>
    <t>452.4843000000001</t>
  </si>
  <si>
    <t>455.25065</t>
  </si>
  <si>
    <t>457.81855</t>
  </si>
  <si>
    <t>460.4654000000001</t>
  </si>
  <si>
    <t>463.0980000000001</t>
  </si>
  <si>
    <t>465.7244000000001</t>
  </si>
  <si>
    <t>468.0401000000001</t>
  </si>
  <si>
    <t>470.39740000000006</t>
  </si>
  <si>
    <t>472.8912</t>
  </si>
  <si>
    <t>475.44854999999995</t>
  </si>
  <si>
    <t>477.7145</t>
  </si>
  <si>
    <t>479.9076</t>
  </si>
  <si>
    <t>482.34515</t>
  </si>
  <si>
    <t>484.7522</t>
  </si>
  <si>
    <t>487.00625</t>
  </si>
  <si>
    <t>489.3307000000001</t>
  </si>
  <si>
    <t>491.57575</t>
  </si>
  <si>
    <t>494.3554500000001</t>
  </si>
  <si>
    <t>497.17305</t>
  </si>
  <si>
    <t>499.9501000000001</t>
  </si>
  <si>
    <t>502.70045000000005</t>
  </si>
  <si>
    <t>505.2848</t>
  </si>
  <si>
    <t>507.8052</t>
  </si>
  <si>
    <t>510.41625000000005</t>
  </si>
  <si>
    <t>512.9716999999999</t>
  </si>
  <si>
    <t>515.56085</t>
  </si>
  <si>
    <t>518.15115</t>
  </si>
  <si>
    <t>520.76835</t>
  </si>
  <si>
    <t>523.3337000000001</t>
  </si>
  <si>
    <t>525.88935</t>
  </si>
  <si>
    <t>528.4251</t>
  </si>
  <si>
    <t>530.9237</t>
  </si>
  <si>
    <t>533.3378</t>
  </si>
  <si>
    <t>535.7092</t>
  </si>
  <si>
    <t>537.9698000000001</t>
  </si>
  <si>
    <t>540.2021500000001</t>
  </si>
  <si>
    <t>542.3641500000001</t>
  </si>
  <si>
    <t>544.5547000000003</t>
  </si>
  <si>
    <t>546.7801500000002</t>
  </si>
  <si>
    <t>549.0595000000003</t>
  </si>
  <si>
    <t>551.3647500000003</t>
  </si>
  <si>
    <t>553.4489000000003</t>
  </si>
  <si>
    <t>555.3341000000003</t>
  </si>
  <si>
    <t>557.1807500000002</t>
  </si>
  <si>
    <t>558.8746000000003</t>
  </si>
  <si>
    <t>560.5002500000003</t>
  </si>
  <si>
    <t>562.1736500000003</t>
  </si>
  <si>
    <t>563.8645000000002</t>
  </si>
  <si>
    <t>565.3820500000003</t>
  </si>
  <si>
    <t>566.9436000000004</t>
  </si>
  <si>
    <t>568.5435000000003</t>
  </si>
  <si>
    <t>570.1922500000004</t>
  </si>
  <si>
    <t>571.8233500000003</t>
  </si>
  <si>
    <t>573.4403500000004</t>
  </si>
  <si>
    <t>575.0557500000003</t>
  </si>
  <si>
    <t>576.4649000000004</t>
  </si>
  <si>
    <t>577.8547500000003</t>
  </si>
  <si>
    <t>579.3480000000004</t>
  </si>
  <si>
    <t>580.7909000000004</t>
  </si>
  <si>
    <t>582.3690000000004</t>
  </si>
  <si>
    <t>584.1466500000004</t>
  </si>
  <si>
    <t>586.0481500000004</t>
  </si>
  <si>
    <t>587.9107000000004</t>
  </si>
  <si>
    <t>589.6729500000004</t>
  </si>
  <si>
    <t>591.4656500000004</t>
  </si>
  <si>
    <t>593.3717500000004</t>
  </si>
  <si>
    <t>595.2296500000003</t>
  </si>
  <si>
    <t>597.0668000000004</t>
  </si>
  <si>
    <t>598.8804500000003</t>
  </si>
  <si>
    <t>600.6929000000003</t>
  </si>
  <si>
    <t>602.3770000000004</t>
  </si>
  <si>
    <t>604.0029500000004</t>
  </si>
  <si>
    <t>605.6111000000004</t>
  </si>
  <si>
    <t>607.1402000000004</t>
  </si>
  <si>
    <t>608.6931500000004</t>
  </si>
  <si>
    <t>610.2390000000005</t>
  </si>
  <si>
    <t>611.8102500000003</t>
  </si>
  <si>
    <t>613.3319000000004</t>
  </si>
  <si>
    <t>614.8129500000005</t>
  </si>
  <si>
    <t>616.2514500000004</t>
  </si>
  <si>
    <t>617.6437500000004</t>
  </si>
  <si>
    <t>618.9529500000004</t>
  </si>
  <si>
    <t>620.2879000000005</t>
  </si>
  <si>
    <t>621.5917000000005</t>
  </si>
  <si>
    <t>622.8551500000004</t>
  </si>
  <si>
    <t>624.0685500000004</t>
  </si>
  <si>
    <t>625.3140500000004</t>
  </si>
  <si>
    <t>626.6123000000005</t>
  </si>
  <si>
    <t>627.9238500000004</t>
  </si>
  <si>
    <t>629.1624000000004</t>
  </si>
  <si>
    <t>630.3925500000004</t>
  </si>
  <si>
    <t>631.6227000000003</t>
  </si>
  <si>
    <t>632.8445500000003</t>
  </si>
  <si>
    <t>634.0623500000004</t>
  </si>
  <si>
    <t>635.2634000000003</t>
  </si>
  <si>
    <t>636.5423500000004</t>
  </si>
  <si>
    <t>637.9622500000004</t>
  </si>
  <si>
    <t>639.4171000000003</t>
  </si>
  <si>
    <t>640.8869000000004</t>
  </si>
  <si>
    <t>642.2040000000003</t>
  </si>
  <si>
    <t>643.5395000000003</t>
  </si>
  <si>
    <t>644.8569500000003</t>
  </si>
  <si>
    <t>645.8622500000002</t>
  </si>
  <si>
    <t>647.0316000000004</t>
  </si>
  <si>
    <t>648.1684000000002</t>
  </si>
  <si>
    <t>649.2698000000003</t>
  </si>
  <si>
    <t>650.4386500000002</t>
  </si>
  <si>
    <t>651.5289500000002</t>
  </si>
  <si>
    <t>652.5658500000002</t>
  </si>
  <si>
    <t>653.6721000000002</t>
  </si>
  <si>
    <t>654.4742000000002</t>
  </si>
  <si>
    <t>654.7524000000002</t>
  </si>
  <si>
    <t>653.9985500000001</t>
  </si>
  <si>
    <t>654.4252000000001</t>
  </si>
  <si>
    <t>654.3267000000002</t>
  </si>
  <si>
    <t>653.7874500000001</t>
  </si>
  <si>
    <t>652.5702500000002</t>
  </si>
  <si>
    <t>651.73505</t>
  </si>
  <si>
    <t>650.6408000000001</t>
  </si>
  <si>
    <t>649.3994500000001</t>
  </si>
  <si>
    <t>647.7566000000002</t>
  </si>
  <si>
    <t>645.53595</t>
  </si>
  <si>
    <t>642.877</t>
  </si>
  <si>
    <t>639.95725</t>
  </si>
  <si>
    <t>637.4889000000002</t>
  </si>
  <si>
    <t>635.3504500000001</t>
  </si>
  <si>
    <t>633.0798000000001</t>
  </si>
  <si>
    <t>630.5983500000001</t>
  </si>
  <si>
    <t>628.74505</t>
  </si>
  <si>
    <t>626.6306500000001</t>
  </si>
  <si>
    <t>626.17375</t>
  </si>
  <si>
    <t>625.07575</t>
  </si>
  <si>
    <t>623.54155</t>
  </si>
  <si>
    <t>621.8628</t>
  </si>
  <si>
    <t>620.1538</t>
  </si>
  <si>
    <t>618.7464000000001</t>
  </si>
  <si>
    <t>617.2389500000002</t>
  </si>
  <si>
    <t>616.0484000000001</t>
  </si>
  <si>
    <t>615.1077500000001</t>
  </si>
  <si>
    <t>614.2725500000001</t>
  </si>
  <si>
    <t>614.0560000000002</t>
  </si>
  <si>
    <t>614.8111500000001</t>
  </si>
  <si>
    <t>615.0486500000002</t>
  </si>
  <si>
    <t>614.8137000000002</t>
  </si>
  <si>
    <t>614.8670000000001</t>
  </si>
  <si>
    <t>614.8133500000001</t>
  </si>
  <si>
    <t>614.7708500000001</t>
  </si>
  <si>
    <t>614.6373500000001</t>
  </si>
  <si>
    <t>614.4977</t>
  </si>
  <si>
    <t>614.1413000000001</t>
  </si>
  <si>
    <t>613.5272000000001</t>
  </si>
  <si>
    <t>612.9896</t>
  </si>
  <si>
    <t>612.5075499999999</t>
  </si>
  <si>
    <t>611.9331</t>
  </si>
  <si>
    <t>611.3996</t>
  </si>
  <si>
    <t>610.7869999999999</t>
  </si>
  <si>
    <t>610.21345</t>
  </si>
  <si>
    <t>609.2965499999999</t>
  </si>
  <si>
    <t>608.4086499999999</t>
  </si>
  <si>
    <t>607.2744999999999</t>
  </si>
  <si>
    <t>605.46215</t>
  </si>
  <si>
    <t>603.8877</t>
  </si>
  <si>
    <t>602.6537</t>
  </si>
  <si>
    <t>601.4929</t>
  </si>
  <si>
    <t>600.2548999999999</t>
  </si>
  <si>
    <t>598.6766999999999</t>
  </si>
  <si>
    <t>597.2804999999998</t>
  </si>
  <si>
    <t>596.0715999999999</t>
  </si>
  <si>
    <t>594.8605999999999</t>
  </si>
  <si>
    <t>593.6691499999998</t>
  </si>
  <si>
    <t>592.3341999999998</t>
  </si>
  <si>
    <t>591.1424499999997</t>
  </si>
  <si>
    <t>590.0507499999997</t>
  </si>
  <si>
    <t>588.9000499999997</t>
  </si>
  <si>
    <t>587.5893499999997</t>
  </si>
  <si>
    <t>586.3189999999997</t>
  </si>
  <si>
    <t>585.0563999999997</t>
  </si>
  <si>
    <t>583.8692499999996</t>
  </si>
  <si>
    <t>582.7120499999997</t>
  </si>
  <si>
    <t>581.6346499999996</t>
  </si>
  <si>
    <t>580.3072499999997</t>
  </si>
  <si>
    <t>578.6700499999997</t>
  </si>
  <si>
    <t>577.3340999999997</t>
  </si>
  <si>
    <t>575.7479499999996</t>
  </si>
  <si>
    <t>574.1204499999997</t>
  </si>
  <si>
    <t>572.4482499999996</t>
  </si>
  <si>
    <t>570.6696999999997</t>
  </si>
  <si>
    <t>568.9272999999997</t>
  </si>
  <si>
    <t>567.3880999999997</t>
  </si>
  <si>
    <t>565.8238999999998</t>
  </si>
  <si>
    <t>564.1928999999997</t>
  </si>
  <si>
    <t>562.6103999999997</t>
  </si>
  <si>
    <t>561.2092499999998</t>
  </si>
  <si>
    <t>560.1244999999998</t>
  </si>
  <si>
    <t>559.2998499999998</t>
  </si>
  <si>
    <t>558.4118999999997</t>
  </si>
  <si>
    <t>557.5590999999998</t>
  </si>
  <si>
    <t>556.7334999999998</t>
  </si>
  <si>
    <t>555.8838499999998</t>
  </si>
  <si>
    <t>555.2003999999998</t>
  </si>
  <si>
    <t>554.2697999999998</t>
  </si>
  <si>
    <t>553.3952499999998</t>
  </si>
  <si>
    <t>552.7265499999997</t>
  </si>
  <si>
    <t>552.0067999999999</t>
  </si>
  <si>
    <t>551.2921499999998</t>
  </si>
  <si>
    <t>550.5937999999999</t>
  </si>
  <si>
    <t>550.1508999999999</t>
  </si>
  <si>
    <t>549.6441499999999</t>
  </si>
  <si>
    <t>549.0453499999999</t>
  </si>
  <si>
    <t>548.3776499999999</t>
  </si>
  <si>
    <t>547.9967499999999</t>
  </si>
  <si>
    <t>547.7086999999999</t>
  </si>
  <si>
    <t>547.17625</t>
  </si>
  <si>
    <t>546.6534999999999</t>
  </si>
  <si>
    <t>546.2470499999998</t>
  </si>
  <si>
    <t>545.7159499999999</t>
  </si>
  <si>
    <t>545.1347</t>
  </si>
  <si>
    <t>543.8598999999999</t>
  </si>
  <si>
    <t>542.5757999999998</t>
  </si>
  <si>
    <t>541.2703499999998</t>
  </si>
  <si>
    <t>539.9874499999999</t>
  </si>
  <si>
    <t>538.8829499999997</t>
  </si>
  <si>
    <t>537.9264999999997</t>
  </si>
  <si>
    <t>536.8073499999997</t>
  </si>
  <si>
    <t>535.7054499999998</t>
  </si>
  <si>
    <t>534.5583499999997</t>
  </si>
  <si>
    <t>533.3568999999997</t>
  </si>
  <si>
    <t>532.0604999999997</t>
  </si>
  <si>
    <t>530.8228999999998</t>
  </si>
  <si>
    <t>529.5747999999999</t>
  </si>
  <si>
    <t>528.3246999999998</t>
  </si>
  <si>
    <t>527.0658999999998</t>
  </si>
  <si>
    <t>525.7336499999998</t>
  </si>
  <si>
    <t>524.2699999999999</t>
  </si>
  <si>
    <t>522.9486499999998</t>
  </si>
  <si>
    <t>521.6901499999999</t>
  </si>
  <si>
    <t>520.5581999999999</t>
  </si>
  <si>
    <t>519.5451499999999</t>
  </si>
  <si>
    <t>518.5382</t>
  </si>
  <si>
    <t>517.4503999999998</t>
  </si>
  <si>
    <t>516.3643999999999</t>
  </si>
  <si>
    <t>515.5463499999998</t>
  </si>
  <si>
    <t>515.0439999999999</t>
  </si>
  <si>
    <t>514.5275499999999</t>
  </si>
  <si>
    <t>514.1109499999999</t>
  </si>
  <si>
    <t>513.7226499999999</t>
  </si>
  <si>
    <t>513.3443</t>
  </si>
  <si>
    <t>512.96695</t>
  </si>
  <si>
    <t>512.7224</t>
  </si>
  <si>
    <t>512.4418499999999</t>
  </si>
  <si>
    <t>512.1105</t>
  </si>
  <si>
    <t>511.6583</t>
  </si>
  <si>
    <t>511.17675</t>
  </si>
  <si>
    <t>510.6782</t>
  </si>
  <si>
    <t>510.1908499999999</t>
  </si>
  <si>
    <t>509.92314999999985</t>
  </si>
  <si>
    <t>509.6901499999999</t>
  </si>
  <si>
    <t>509.3010999999999</t>
  </si>
  <si>
    <t>508.91720000000004</t>
  </si>
  <si>
    <t>508.39975</t>
  </si>
  <si>
    <t>507.6164</t>
  </si>
  <si>
    <t>506.6638999999999</t>
  </si>
  <si>
    <t>505.7839499999999</t>
  </si>
  <si>
    <t>504.9971499999999</t>
  </si>
  <si>
    <t>504.23124999999993</t>
  </si>
  <si>
    <t>503.4371499999999</t>
  </si>
  <si>
    <t>502.66445</t>
  </si>
  <si>
    <t>501.9133499999999</t>
  </si>
  <si>
    <t>501.21945</t>
  </si>
  <si>
    <t>500.5955</t>
  </si>
  <si>
    <t>500.11774999999994</t>
  </si>
  <si>
    <t>499.81064999999995</t>
  </si>
  <si>
    <t>499.70624999999995</t>
  </si>
  <si>
    <t>499.51005</t>
  </si>
  <si>
    <t>499.22515</t>
  </si>
  <si>
    <t>498.9156</t>
  </si>
  <si>
    <t>498.62799999999993</t>
  </si>
  <si>
    <t>498.29069999999984</t>
  </si>
  <si>
    <t>497.98579999999987</t>
  </si>
  <si>
    <t>497.64429999999993</t>
  </si>
  <si>
    <t>497.2401499999999</t>
  </si>
  <si>
    <t>496.8784999999999</t>
  </si>
  <si>
    <t>496.49364999999983</t>
  </si>
  <si>
    <t>496.1531999999999</t>
  </si>
  <si>
    <t>495.83554999999984</t>
  </si>
  <si>
    <t>495.44299999999987</t>
  </si>
  <si>
    <t>495.08189999999996</t>
  </si>
  <si>
    <t>494.73355</t>
  </si>
  <si>
    <t>494.4287499999999</t>
  </si>
  <si>
    <t>494.10495</t>
  </si>
  <si>
    <t>493.7729499999999</t>
  </si>
  <si>
    <t>493.44509999999997</t>
  </si>
  <si>
    <t>493.09874999999994</t>
  </si>
  <si>
    <t>492.73964999999987</t>
  </si>
  <si>
    <t>492.38039999999984</t>
  </si>
  <si>
    <t>491.9395999999999</t>
  </si>
  <si>
    <t>491.3703499999998</t>
  </si>
  <si>
    <t>490.6829499999998</t>
  </si>
  <si>
    <t>489.8127499999998</t>
  </si>
  <si>
    <t>488.9636999999998</t>
  </si>
  <si>
    <t>487.9321999999998</t>
  </si>
  <si>
    <t>486.79154999999975</t>
  </si>
  <si>
    <t>485.6692999999998</t>
  </si>
  <si>
    <t>484.5607499999998</t>
  </si>
  <si>
    <t>483.4743999999999</t>
  </si>
  <si>
    <t>482.17444999999987</t>
  </si>
  <si>
    <t>480.7107999999999</t>
  </si>
  <si>
    <t>479.06079999999986</t>
  </si>
  <si>
    <t>477.45384999999993</t>
  </si>
  <si>
    <t>475.7732999999999</t>
  </si>
  <si>
    <t>474.19139999999993</t>
  </si>
  <si>
    <t>472.5802</t>
  </si>
  <si>
    <t>470.9694999999998</t>
  </si>
  <si>
    <t>469.36239999999975</t>
  </si>
  <si>
    <t>467.69099999999975</t>
  </si>
  <si>
    <t>466.0616499999998</t>
  </si>
  <si>
    <t>464.4006999999998</t>
  </si>
  <si>
    <t>462.7593499999999</t>
  </si>
  <si>
    <t>461.2195999999999</t>
  </si>
  <si>
    <t>459.8002999999998</t>
  </si>
  <si>
    <t>458.47619999999984</t>
  </si>
  <si>
    <t>457.2204499999997</t>
  </si>
  <si>
    <t>455.81239999999974</t>
  </si>
  <si>
    <t>454.34014999999977</t>
  </si>
  <si>
    <t>452.6655999999998</t>
  </si>
  <si>
    <t>450.9949499999999</t>
  </si>
  <si>
    <t>449.41539999999986</t>
  </si>
  <si>
    <t>447.8901499999998</t>
  </si>
  <si>
    <t>446.32964999999973</t>
  </si>
  <si>
    <t>444.7885999999998</t>
  </si>
  <si>
    <t>443.2346499999998</t>
  </si>
  <si>
    <t>441.7398999999999</t>
  </si>
  <si>
    <t>440.1651999999999</t>
  </si>
  <si>
    <t>438.37629999999996</t>
  </si>
  <si>
    <t>436.37225</t>
  </si>
  <si>
    <t>434.40969999999993</t>
  </si>
  <si>
    <t>432.36479999999995</t>
  </si>
  <si>
    <t>430.12064999999996</t>
  </si>
  <si>
    <t>427.9193</t>
  </si>
  <si>
    <t>425.7549000000001</t>
  </si>
  <si>
    <t>423.6207500000001</t>
  </si>
  <si>
    <t>421.5451500000001</t>
  </si>
  <si>
    <t>419.5358</t>
  </si>
  <si>
    <t>417.54690000000005</t>
  </si>
  <si>
    <t>415.61635</t>
  </si>
  <si>
    <t>413.7351000000001</t>
  </si>
  <si>
    <t>412.04520000000014</t>
  </si>
  <si>
    <t>410.24060000000003</t>
  </si>
  <si>
    <t>408.3551</t>
  </si>
  <si>
    <t>406.37665</t>
  </si>
  <si>
    <t>404.42905000000013</t>
  </si>
  <si>
    <t>402.45845000000014</t>
  </si>
  <si>
    <t>400.4609000000002</t>
  </si>
  <si>
    <t>398.50580000000014</t>
  </si>
  <si>
    <t>396.5762000000001</t>
  </si>
  <si>
    <t>394.57475000000005</t>
  </si>
  <si>
    <t>392.5662500000001</t>
  </si>
  <si>
    <t>390.5620500000001</t>
  </si>
  <si>
    <t>388.5841500000001</t>
  </si>
  <si>
    <t>386.6066500000002</t>
  </si>
  <si>
    <t>384.6625500000002</t>
  </si>
  <si>
    <t>382.7528500000002</t>
  </si>
  <si>
    <t>380.8795000000002</t>
  </si>
  <si>
    <t>379.0067000000002</t>
  </si>
  <si>
    <t>377.24345000000017</t>
  </si>
  <si>
    <t>375.5484000000002</t>
  </si>
  <si>
    <t>373.9031000000002</t>
  </si>
  <si>
    <t>372.2110500000001</t>
  </si>
  <si>
    <t>370.4470500000001</t>
  </si>
  <si>
    <t>368.69740000000013</t>
  </si>
  <si>
    <t>366.96515000000016</t>
  </si>
  <si>
    <t>365.2459000000001</t>
  </si>
  <si>
    <t>363.5400500000002</t>
  </si>
  <si>
    <t>361.8254500000001</t>
  </si>
  <si>
    <t>360.0812500000001</t>
  </si>
  <si>
    <t>358.31465000000003</t>
  </si>
  <si>
    <t>356.56495</t>
  </si>
  <si>
    <t>354.80424999999997</t>
  </si>
  <si>
    <t>353.12729999999993</t>
  </si>
  <si>
    <t>351.5406</t>
  </si>
  <si>
    <t>350.03595</t>
  </si>
  <si>
    <t>348.74379999999996</t>
  </si>
  <si>
    <t>347.5906</t>
  </si>
  <si>
    <t>346.48755</t>
  </si>
  <si>
    <t>345.32929999999993</t>
  </si>
  <si>
    <t>344.3268499999999</t>
  </si>
  <si>
    <t>343.3383499999998</t>
  </si>
  <si>
    <t>342.27804999999984</t>
  </si>
  <si>
    <t>341.0923999999998</t>
  </si>
  <si>
    <t>339.99999999999983</t>
  </si>
  <si>
    <t>338.95064999999994</t>
  </si>
  <si>
    <t>337.91079999999994</t>
  </si>
  <si>
    <t>336.8518</t>
  </si>
  <si>
    <t>335.7349</t>
  </si>
  <si>
    <t>334.58719999999994</t>
  </si>
  <si>
    <t>333.4922999999999</t>
  </si>
  <si>
    <t>332.40594999999996</t>
  </si>
  <si>
    <t>331.25949999999995</t>
  </si>
  <si>
    <t>330.10135</t>
  </si>
  <si>
    <t>329.0176</t>
  </si>
  <si>
    <t>327.93365000000006</t>
  </si>
  <si>
    <t>326.8571</t>
  </si>
  <si>
    <t>325.7779000000001</t>
  </si>
  <si>
    <t>324.63015000000007</t>
  </si>
  <si>
    <t>323.4344500000001</t>
  </si>
  <si>
    <t>322.25540000000007</t>
  </si>
  <si>
    <t>321.1225500000001</t>
  </si>
  <si>
    <t>320.02575000000013</t>
  </si>
  <si>
    <t>318.8522000000001</t>
  </si>
  <si>
    <t>317.6886500000001</t>
  </si>
  <si>
    <t>316.54110000000014</t>
  </si>
  <si>
    <t>315.37320000000017</t>
  </si>
  <si>
    <t>314.2305000000002</t>
  </si>
  <si>
    <t>313.1178500000002</t>
  </si>
  <si>
    <t>312.0334500000002</t>
  </si>
  <si>
    <t>311.0143000000002</t>
  </si>
  <si>
    <t>310.1025000000002</t>
  </si>
  <si>
    <t>309.3488000000002</t>
  </si>
  <si>
    <t>308.5478000000002</t>
  </si>
  <si>
    <t>307.76470000000023</t>
  </si>
  <si>
    <t>306.9473500000002</t>
  </si>
  <si>
    <t>306.0885000000002</t>
  </si>
  <si>
    <t>305.1426000000002</t>
  </si>
  <si>
    <t>304.2437500000001</t>
  </si>
  <si>
    <t>303.32035000000013</t>
  </si>
  <si>
    <t>302.4195000000001</t>
  </si>
  <si>
    <t>301.6003000000001</t>
  </si>
  <si>
    <t>300.8345000000001</t>
  </si>
  <si>
    <t>300.0503500000001</t>
  </si>
  <si>
    <t>299.2502500000001</t>
  </si>
  <si>
    <t>298.4736500000001</t>
  </si>
  <si>
    <t>297.76070000000004</t>
  </si>
  <si>
    <t>297.2037000000001</t>
  </si>
  <si>
    <t>296.7962500000001</t>
  </si>
  <si>
    <t>296.3361500000001</t>
  </si>
  <si>
    <t>295.8321500000001</t>
  </si>
  <si>
    <t>295.2376500000001</t>
  </si>
  <si>
    <t>294.5327500000001</t>
  </si>
  <si>
    <t>293.85375000000005</t>
  </si>
  <si>
    <t>293.18450000000007</t>
  </si>
  <si>
    <t>292.52985000000007</t>
  </si>
  <si>
    <t>291.81555000000003</t>
  </si>
  <si>
    <t>290.98645000000005</t>
  </si>
  <si>
    <t>290.214</t>
  </si>
  <si>
    <t>289.47905</t>
  </si>
  <si>
    <t>288.75915</t>
  </si>
  <si>
    <t>288.00614999999993</t>
  </si>
  <si>
    <t>287.21705</t>
  </si>
  <si>
    <t>286.49999999999994</t>
  </si>
  <si>
    <t>285.78484999999995</t>
  </si>
  <si>
    <t>285.07089999999994</t>
  </si>
  <si>
    <t>284.43584999999996</t>
  </si>
  <si>
    <t>283.8580999999999</t>
  </si>
  <si>
    <t>283.32079999999996</t>
  </si>
  <si>
    <t>282.77674999999994</t>
  </si>
  <si>
    <t>282.1944</t>
  </si>
  <si>
    <t>281.60425</t>
  </si>
  <si>
    <t>281.05749999999995</t>
  </si>
  <si>
    <t>280.5462</t>
  </si>
  <si>
    <t>280.00589999999994</t>
  </si>
  <si>
    <t>279.527</t>
  </si>
  <si>
    <t>279.08015</t>
  </si>
  <si>
    <t>278.6234</t>
  </si>
  <si>
    <t>278.18399999999997</t>
  </si>
  <si>
    <t>277.6978</t>
  </si>
  <si>
    <t>277.17905</t>
  </si>
  <si>
    <t>276.63995</t>
  </si>
  <si>
    <t>276.11240000000004</t>
  </si>
  <si>
    <t>275.5488</t>
  </si>
  <si>
    <t>274.9127500000001</t>
  </si>
  <si>
    <t>274.25230000000005</t>
  </si>
  <si>
    <t>273.44680000000005</t>
  </si>
  <si>
    <t>272.43140000000005</t>
  </si>
  <si>
    <t>271.57320000000004</t>
  </si>
  <si>
    <t>270.77465000000007</t>
  </si>
  <si>
    <t>269.98890000000006</t>
  </si>
  <si>
    <t>269.13565000000006</t>
  </si>
  <si>
    <t>268.3604000000001</t>
  </si>
  <si>
    <t>267.591</t>
  </si>
  <si>
    <t>266.89300000000003</t>
  </si>
  <si>
    <t>266.2867</t>
  </si>
  <si>
    <t>265.65815</t>
  </si>
  <si>
    <t>265.01775</t>
  </si>
  <si>
    <t>264.30115</t>
  </si>
  <si>
    <t>263.544</t>
  </si>
  <si>
    <t>262.85245000000003</t>
  </si>
  <si>
    <t>262.1712</t>
  </si>
  <si>
    <t>261.53180000000003</t>
  </si>
  <si>
    <t>260.89480000000003</t>
  </si>
  <si>
    <t>260.24840000000006</t>
  </si>
  <si>
    <t>259.58955000000003</t>
  </si>
  <si>
    <t>258.89995000000005</t>
  </si>
  <si>
    <t>258.23035</t>
  </si>
  <si>
    <t>257.58735</t>
  </si>
  <si>
    <t>256.9521</t>
  </si>
  <si>
    <t>256.29735</t>
  </si>
  <si>
    <t>255.63180000000003</t>
  </si>
  <si>
    <t>255.00105000000008</t>
  </si>
  <si>
    <t>254.47000000000003</t>
  </si>
  <si>
    <t>253.96710000000007</t>
  </si>
  <si>
    <t>253.47385000000006</t>
  </si>
  <si>
    <t>253.02985000000007</t>
  </si>
  <si>
    <t>252.58600000000007</t>
  </si>
  <si>
    <t>252.1272500000001</t>
  </si>
  <si>
    <t>251.66545000000008</t>
  </si>
  <si>
    <t>251.27595000000005</t>
  </si>
  <si>
    <t>250.97905000000006</t>
  </si>
  <si>
    <t>250.77300000000005</t>
  </si>
  <si>
    <t>250.54895000000008</t>
  </si>
  <si>
    <t>250.27200000000008</t>
  </si>
  <si>
    <t>250.00075000000007</t>
  </si>
  <si>
    <t>249.76305000000008</t>
  </si>
  <si>
    <t>249.55115000000006</t>
  </si>
  <si>
    <t>249.41860000000005</t>
  </si>
  <si>
    <t>249.28130000000004</t>
  </si>
  <si>
    <t>249.11825000000007</t>
  </si>
  <si>
    <t>248.9712000000001</t>
  </si>
  <si>
    <t>248.7977500000001</t>
  </si>
  <si>
    <t>248.60195000000013</t>
  </si>
  <si>
    <t>248.41440000000014</t>
  </si>
  <si>
    <t>248.2176500000001</t>
  </si>
  <si>
    <t>248.0219000000001</t>
  </si>
  <si>
    <t>247.8433500000001</t>
  </si>
  <si>
    <t>247.70590000000007</t>
  </si>
  <si>
    <t>247.72300000000007</t>
  </si>
  <si>
    <t>247.7742500000001</t>
  </si>
  <si>
    <t>247.8314500000001</t>
  </si>
  <si>
    <t>247.84345000000008</t>
  </si>
  <si>
    <t>247.85400000000004</t>
  </si>
  <si>
    <t>247.90255000000008</t>
  </si>
  <si>
    <t>247.95925000000005</t>
  </si>
  <si>
    <t>248.03430000000003</t>
  </si>
  <si>
    <t>248.11710000000005</t>
  </si>
  <si>
    <t>248.32830000000004</t>
  </si>
  <si>
    <t>248.74250000000006</t>
  </si>
  <si>
    <t>249.12880000000007</t>
  </si>
  <si>
    <t>249.49495000000007</t>
  </si>
  <si>
    <t>249.91155000000003</t>
  </si>
  <si>
    <t>250.28830000000002</t>
  </si>
  <si>
    <t>250.62915000000004</t>
  </si>
  <si>
    <t>250.95050000000006</t>
  </si>
  <si>
    <t>251.1928000000001</t>
  </si>
  <si>
    <t>251.3619000000001</t>
  </si>
  <si>
    <t>251.5460000000001</t>
  </si>
  <si>
    <t>251.7031000000001</t>
  </si>
  <si>
    <t>251.7920500000001</t>
  </si>
  <si>
    <t>251.71735000000012</t>
  </si>
  <si>
    <t>251.7464000000001</t>
  </si>
  <si>
    <t>251.7832000000001</t>
  </si>
  <si>
    <t>251.91600000000008</t>
  </si>
  <si>
    <t>252.03630000000013</t>
  </si>
  <si>
    <t>252.06535000000008</t>
  </si>
  <si>
    <t>252.1359500000001</t>
  </si>
  <si>
    <t>252.17605000000006</t>
  </si>
  <si>
    <t>252.14840000000004</t>
  </si>
  <si>
    <t>252.16960000000006</t>
  </si>
  <si>
    <t>252.16410000000005</t>
  </si>
  <si>
    <t>252.13360000000003</t>
  </si>
  <si>
    <t>252.12950000000004</t>
  </si>
  <si>
    <t>252.13595</t>
  </si>
  <si>
    <t>252.1691</t>
  </si>
  <si>
    <t>252.23075</t>
  </si>
  <si>
    <t>252.27165000000002</t>
  </si>
  <si>
    <t>252.31480000000002</t>
  </si>
  <si>
    <t>252.30555000000004</t>
  </si>
  <si>
    <t>252.21955000000003</t>
  </si>
  <si>
    <t>252.12254999999996</t>
  </si>
  <si>
    <t>252.10604999999995</t>
  </si>
  <si>
    <t>252.07749999999996</t>
  </si>
  <si>
    <t>252.07734999999997</t>
  </si>
  <si>
    <t>252.08989999999997</t>
  </si>
  <si>
    <t>252.09144999999998</t>
  </si>
  <si>
    <t>252.07735</t>
  </si>
  <si>
    <t>252.06669999999997</t>
  </si>
  <si>
    <t>252.09044999999998</t>
  </si>
  <si>
    <t>252.09544999999994</t>
  </si>
  <si>
    <t>252.07314999999994</t>
  </si>
  <si>
    <t>252.03664999999998</t>
  </si>
  <si>
    <t>251.94484999999997</t>
  </si>
  <si>
    <t>251.83154999999996</t>
  </si>
  <si>
    <t>251.73394999999996</t>
  </si>
  <si>
    <t>251.59364999999997</t>
  </si>
  <si>
    <t>251.38374999999996</t>
  </si>
  <si>
    <t>251.15164999999996</t>
  </si>
  <si>
    <t>250.94080000000002</t>
  </si>
  <si>
    <t>250.72564999999997</t>
  </si>
  <si>
    <t>250.51589999999996</t>
  </si>
  <si>
    <t>250.30564999999999</t>
  </si>
  <si>
    <t>250.07695</t>
  </si>
  <si>
    <t>249.78790000000004</t>
  </si>
  <si>
    <t>249.49375000000003</t>
  </si>
  <si>
    <t>249.20855000000003</t>
  </si>
  <si>
    <t>248.94925000000003</t>
  </si>
  <si>
    <t>248.72215000000003</t>
  </si>
  <si>
    <t>248.49075000000002</t>
  </si>
  <si>
    <t>248.22795</t>
  </si>
  <si>
    <t>247.97525</t>
  </si>
  <si>
    <t>247.805</t>
  </si>
  <si>
    <t>247.71629999999996</t>
  </si>
  <si>
    <t>247.6288</t>
  </si>
  <si>
    <t>247.5573</t>
  </si>
  <si>
    <t>247.47095</t>
  </si>
  <si>
    <t>247.35915</t>
  </si>
  <si>
    <t>247.30730000000003</t>
  </si>
  <si>
    <t>247.32295000000005</t>
  </si>
  <si>
    <t>247.31510000000006</t>
  </si>
  <si>
    <t>247.31780000000006</t>
  </si>
  <si>
    <t>247.32205000000005</t>
  </si>
  <si>
    <t>247.37110000000004</t>
  </si>
  <si>
    <t>247.44780000000003</t>
  </si>
  <si>
    <t>247.56425000000002</t>
  </si>
  <si>
    <t>247.67915000000002</t>
  </si>
  <si>
    <t>247.75639999999999</t>
  </si>
  <si>
    <t>247.82829999999998</t>
  </si>
  <si>
    <t>247.9039</t>
  </si>
  <si>
    <t>247.9848</t>
  </si>
  <si>
    <t>248.07995000000003</t>
  </si>
  <si>
    <t>248.21095000000005</t>
  </si>
  <si>
    <t>248.40935000000002</t>
  </si>
  <si>
    <t>248.612</t>
  </si>
  <si>
    <t>248.88365000000002</t>
  </si>
  <si>
    <t>249.2065</t>
  </si>
  <si>
    <t>249.57085000000004</t>
  </si>
  <si>
    <t>250.02890000000002</t>
  </si>
  <si>
    <t>250.53895000000003</t>
  </si>
  <si>
    <t>251.01985000000002</t>
  </si>
  <si>
    <t>251.55790000000002</t>
  </si>
  <si>
    <t>252.34439999999998</t>
  </si>
  <si>
    <t>253.45840000000004</t>
  </si>
  <si>
    <t>254.33405000000005</t>
  </si>
  <si>
    <t>255.0716500000001</t>
  </si>
  <si>
    <t>255.85515000000007</t>
  </si>
  <si>
    <t>256.59125000000006</t>
  </si>
  <si>
    <t>257.29025000000007</t>
  </si>
  <si>
    <t>257.95680000000004</t>
  </si>
  <si>
    <t>258.38810000000007</t>
  </si>
  <si>
    <t>258.92885000000007</t>
  </si>
  <si>
    <t>259.49080000000015</t>
  </si>
  <si>
    <t>260.0287500000002</t>
  </si>
  <si>
    <t>260.5377000000001</t>
  </si>
  <si>
    <t>260.98615000000007</t>
  </si>
  <si>
    <t>261.48165000000006</t>
  </si>
  <si>
    <t>261.9772500000001</t>
  </si>
  <si>
    <t>262.4359000000001</t>
  </si>
  <si>
    <t>262.8355000000001</t>
  </si>
  <si>
    <t>263.2815500000001</t>
  </si>
  <si>
    <t>263.73000000000013</t>
  </si>
  <si>
    <t>264.1864500000001</t>
  </si>
  <si>
    <t>264.6002500000001</t>
  </si>
  <si>
    <t>265.0050500000001</t>
  </si>
  <si>
    <t>265.5090500000001</t>
  </si>
  <si>
    <t>266.0765500000001</t>
  </si>
  <si>
    <t>266.64305000000013</t>
  </si>
  <si>
    <t>267.23705000000007</t>
  </si>
  <si>
    <t>267.9028500000001</t>
  </si>
  <si>
    <t>268.5519000000001</t>
  </si>
  <si>
    <t>269.1414000000001</t>
  </si>
  <si>
    <t>269.7707500000001</t>
  </si>
  <si>
    <t>270.3945500000001</t>
  </si>
  <si>
    <t>271.10325000000006</t>
  </si>
  <si>
    <t>271.9014</t>
  </si>
  <si>
    <t>272.69140000000004</t>
  </si>
  <si>
    <t>273.48780000000005</t>
  </si>
  <si>
    <t>274.3775</t>
  </si>
  <si>
    <t>275.2566</t>
  </si>
  <si>
    <t>276.2259</t>
  </si>
  <si>
    <t>277.19890000000004</t>
  </si>
  <si>
    <t>278.18755000000004</t>
  </si>
  <si>
    <t>279.20405000000005</t>
  </si>
  <si>
    <t>280.2984000000001</t>
  </si>
  <si>
    <t>281.40635000000003</t>
  </si>
  <si>
    <t>282.51770000000005</t>
  </si>
  <si>
    <t>283.68375000000003</t>
  </si>
  <si>
    <t>284.87585</t>
  </si>
  <si>
    <t>286.01145</t>
  </si>
  <si>
    <t>287.06815</t>
  </si>
  <si>
    <t>288.13989999999995</t>
  </si>
  <si>
    <t>289.2155</t>
  </si>
  <si>
    <t>290.36084999999997</t>
  </si>
  <si>
    <t>291.5049</t>
  </si>
  <si>
    <t>292.5024</t>
  </si>
  <si>
    <t>293.44155000000006</t>
  </si>
  <si>
    <t>294.41295</t>
  </si>
  <si>
    <t>295.38665000000003</t>
  </si>
  <si>
    <t>296.37915000000004</t>
  </si>
  <si>
    <t>297.34150000000005</t>
  </si>
  <si>
    <t>298.32845000000003</t>
  </si>
  <si>
    <t>299.2887</t>
  </si>
  <si>
    <t>300.18655</t>
  </si>
  <si>
    <t>301.0989</t>
  </si>
  <si>
    <t>302.0192</t>
  </si>
  <si>
    <t>302.95765000000006</t>
  </si>
  <si>
    <t>303.97525</t>
  </si>
  <si>
    <t>305.02075</t>
  </si>
  <si>
    <t>306.04425000000003</t>
  </si>
  <si>
    <t>307.05174999999997</t>
  </si>
  <si>
    <t>308.07365000000004</t>
  </si>
  <si>
    <t>309.094</t>
  </si>
  <si>
    <t>310.0097</t>
  </si>
  <si>
    <t>310.91920000000005</t>
  </si>
  <si>
    <t>311.66385</t>
  </si>
  <si>
    <t>312.20975000000004</t>
  </si>
  <si>
    <t>312.83525000000003</t>
  </si>
  <si>
    <t>313.46605000000005</t>
  </si>
  <si>
    <t>314.10900000000004</t>
  </si>
  <si>
    <t>314.78415</t>
  </si>
  <si>
    <t>315.5365</t>
  </si>
  <si>
    <t>316.15105000000005</t>
  </si>
  <si>
    <t>316.75695</t>
  </si>
  <si>
    <t>317.3976</t>
  </si>
  <si>
    <t>318.03145</t>
  </si>
  <si>
    <t>318.60314999999997</t>
  </si>
  <si>
    <t>319.12949999999995</t>
  </si>
  <si>
    <t>319.5373</t>
  </si>
  <si>
    <t>319.9521</t>
  </si>
  <si>
    <t>320.39644999999996</t>
  </si>
  <si>
    <t>320.8401999999999</t>
  </si>
  <si>
    <t>321.29869999999994</t>
  </si>
  <si>
    <t>321.79215</t>
  </si>
  <si>
    <t>322.2790999999999</t>
  </si>
  <si>
    <t>322.80244999999996</t>
  </si>
  <si>
    <t>323.35864999999995</t>
  </si>
  <si>
    <t>323.84914999999995</t>
  </si>
  <si>
    <t>324.35434999999995</t>
  </si>
  <si>
    <t>324.85234999999994</t>
  </si>
  <si>
    <t>325.31204999999994</t>
  </si>
  <si>
    <t>325.7709999999999</t>
  </si>
  <si>
    <t>326.2125999999999</t>
  </si>
  <si>
    <t>326.6684499999999</t>
  </si>
  <si>
    <t>327.1427999999999</t>
  </si>
  <si>
    <t>327.6822999999999</t>
  </si>
  <si>
    <t>328.25609999999995</t>
  </si>
  <si>
    <t>328.8445999999999</t>
  </si>
  <si>
    <t>329.50454999999994</t>
  </si>
  <si>
    <t>330.19924999999995</t>
  </si>
  <si>
    <t>330.88319999999993</t>
  </si>
  <si>
    <t>331.6122499999999</t>
  </si>
  <si>
    <t>332.38349999999997</t>
  </si>
  <si>
    <t>333.16059999999993</t>
  </si>
  <si>
    <t>333.90554999999995</t>
  </si>
  <si>
    <t>334.6423499999999</t>
  </si>
  <si>
    <t>335.4437999999999</t>
  </si>
  <si>
    <t>336.24055</t>
  </si>
  <si>
    <t>337.0743499999999</t>
  </si>
  <si>
    <t>337.8827499999999</t>
  </si>
  <si>
    <t>338.73789999999985</t>
  </si>
  <si>
    <t>339.5889499999999</t>
  </si>
  <si>
    <t>340.4227999999998</t>
  </si>
  <si>
    <t>341.2366999999998</t>
  </si>
  <si>
    <t>342.0523499999999</t>
  </si>
  <si>
    <t>342.7940999999999</t>
  </si>
  <si>
    <t>343.6492999999999</t>
  </si>
  <si>
    <t>344.5404999999999</t>
  </si>
  <si>
    <t>345.43954999999994</t>
  </si>
  <si>
    <t>346.35699999999997</t>
  </si>
  <si>
    <t>347.29364999999996</t>
  </si>
  <si>
    <t>348.29329999999993</t>
  </si>
  <si>
    <t>349.30355</t>
  </si>
  <si>
    <t>350.25204999999994</t>
  </si>
  <si>
    <t>351.1987499999999</t>
  </si>
  <si>
    <t>352.15259999999995</t>
  </si>
  <si>
    <t>353.08844999999997</t>
  </si>
  <si>
    <t>354.05129999999997</t>
  </si>
  <si>
    <t>354.98704999999995</t>
  </si>
  <si>
    <t>355.8926999999999</t>
  </si>
  <si>
    <t>356.81895</t>
  </si>
  <si>
    <t>357.7295</t>
  </si>
  <si>
    <t>358.66984999999994</t>
  </si>
  <si>
    <t>359.60495</t>
  </si>
  <si>
    <t>360.5041999999999</t>
  </si>
  <si>
    <t>361.4002</t>
  </si>
  <si>
    <t>362.2833499999999</t>
  </si>
  <si>
    <t>363.1832499999999</t>
  </si>
  <si>
    <t>364.10854999999987</t>
  </si>
  <si>
    <t>365.00864999999993</t>
  </si>
  <si>
    <t>365.88749999999993</t>
  </si>
  <si>
    <t>366.80879999999996</t>
  </si>
  <si>
    <t>367.75139999999993</t>
  </si>
  <si>
    <t>368.70224999999994</t>
  </si>
  <si>
    <t>369.6603999999999</t>
  </si>
  <si>
    <t>370.60360000000003</t>
  </si>
  <si>
    <t>371.55199999999996</t>
  </si>
  <si>
    <t>372.50894999999997</t>
  </si>
  <si>
    <t>373.4618</t>
  </si>
  <si>
    <t>374.43705</t>
  </si>
  <si>
    <t>375.38270000000006</t>
  </si>
  <si>
    <t>376.33275000000003</t>
  </si>
  <si>
    <t>377.2818</t>
  </si>
  <si>
    <t>378.23024999999996</t>
  </si>
  <si>
    <t>379.17484999999994</t>
  </si>
  <si>
    <t>380.1277999999999</t>
  </si>
  <si>
    <t>381.08159999999987</t>
  </si>
  <si>
    <t>382.0467999999999</t>
  </si>
  <si>
    <t>383.01144999999997</t>
  </si>
  <si>
    <t>383.9676499999998</t>
  </si>
  <si>
    <t>384.9337999999999</t>
  </si>
  <si>
    <t>385.92744999999996</t>
  </si>
  <si>
    <t>386.94765</t>
  </si>
  <si>
    <t>387.98055</t>
  </si>
  <si>
    <t>388.99945</t>
  </si>
  <si>
    <t>390.0416</t>
  </si>
  <si>
    <t>391.11490000000003</t>
  </si>
  <si>
    <t>392.2162</t>
  </si>
  <si>
    <t>393.28845000000007</t>
  </si>
  <si>
    <t>394.27815000000004</t>
  </si>
  <si>
    <t>395.3004</t>
  </si>
  <si>
    <t>396.32835000000006</t>
  </si>
  <si>
    <t>397.32875000000007</t>
  </si>
  <si>
    <t>398.29085000000015</t>
  </si>
  <si>
    <t>399.2264500000001</t>
  </si>
  <si>
    <t>400.12235000000015</t>
  </si>
  <si>
    <t>401.0290000000001</t>
  </si>
  <si>
    <t>401.9734000000001</t>
  </si>
  <si>
    <t>402.92835000000014</t>
  </si>
  <si>
    <t>403.88300000000004</t>
  </si>
  <si>
    <t>404.82630000000006</t>
  </si>
  <si>
    <t>405.7301500000001</t>
  </si>
  <si>
    <t>406.6012</t>
  </si>
  <si>
    <t>407.42245</t>
  </si>
  <si>
    <t>408.28255000000007</t>
  </si>
  <si>
    <t>409.11105000000003</t>
  </si>
  <si>
    <t>409.90770000000003</t>
  </si>
  <si>
    <t>410.6531</t>
  </si>
  <si>
    <t>411.31555000000003</t>
  </si>
  <si>
    <t>411.98659999999995</t>
  </si>
  <si>
    <t>412.6605</t>
  </si>
  <si>
    <t>413.20340000000004</t>
  </si>
  <si>
    <t>413.52130000000005</t>
  </si>
  <si>
    <t>413.5126000000001</t>
  </si>
  <si>
    <t>413.73255000000006</t>
  </si>
  <si>
    <t>414.11645000000004</t>
  </si>
  <si>
    <t>414.45550000000003</t>
  </si>
  <si>
    <t>414.80975000000007</t>
  </si>
  <si>
    <t>415.29335000000015</t>
  </si>
  <si>
    <t>415.9518</t>
  </si>
  <si>
    <t>416.99410000000006</t>
  </si>
  <si>
    <t>418.0267</t>
  </si>
  <si>
    <t>419.0377</t>
  </si>
  <si>
    <t>420.03864999999996</t>
  </si>
  <si>
    <t>421.08644999999996</t>
  </si>
  <si>
    <t>422.27304999999996</t>
  </si>
  <si>
    <t>423.4707499999999</t>
  </si>
  <si>
    <t>424.6804499999999</t>
  </si>
  <si>
    <t>425.9373999999999</t>
  </si>
  <si>
    <t>427.2560499999999</t>
  </si>
  <si>
    <t>428.5294999999998</t>
  </si>
  <si>
    <t>429.8040999999999</t>
  </si>
  <si>
    <t>431.0801999999998</t>
  </si>
  <si>
    <t>432.39629999999977</t>
  </si>
  <si>
    <t>433.9766499999998</t>
  </si>
  <si>
    <t>435.70534999999984</t>
  </si>
  <si>
    <t>437.3672499999998</t>
  </si>
  <si>
    <t>439.0191499999996</t>
  </si>
  <si>
    <t>440.9109499999998</t>
  </si>
  <si>
    <t>442.7794499999997</t>
  </si>
  <si>
    <t>444.7027499999997</t>
  </si>
  <si>
    <t>446.70919999999967</t>
  </si>
  <si>
    <t>448.65069999999963</t>
  </si>
  <si>
    <t>450.26524999999964</t>
  </si>
  <si>
    <t>451.6555499999997</t>
  </si>
  <si>
    <t>452.6560999999997</t>
  </si>
  <si>
    <t>453.9729999999997</t>
  </si>
  <si>
    <t>455.3599999999996</t>
  </si>
  <si>
    <t>456.48849999999965</t>
  </si>
  <si>
    <t>457.6133499999996</t>
  </si>
  <si>
    <t>458.68919999999963</t>
  </si>
  <si>
    <t>459.7157499999996</t>
  </si>
  <si>
    <t>460.8128999999997</t>
  </si>
  <si>
    <t>461.9998499999996</t>
  </si>
  <si>
    <t>463.1681499999997</t>
  </si>
  <si>
    <t>464.2735499999996</t>
  </si>
  <si>
    <t>465.3622999999996</t>
  </si>
  <si>
    <t>466.43249999999966</t>
  </si>
  <si>
    <t>467.4932999999996</t>
  </si>
  <si>
    <t>468.4462499999996</t>
  </si>
  <si>
    <t>469.49909999999966</t>
  </si>
  <si>
    <t>470.5630499999997</t>
  </si>
  <si>
    <t>471.5914499999996</t>
  </si>
  <si>
    <t>472.5695999999996</t>
  </si>
  <si>
    <t>473.5810499999996</t>
  </si>
  <si>
    <t>474.74944999999957</t>
  </si>
  <si>
    <t>475.9460499999995</t>
  </si>
  <si>
    <t>477.1391999999996</t>
  </si>
  <si>
    <t>478.3317499999996</t>
  </si>
  <si>
    <t>479.5380999999996</t>
  </si>
  <si>
    <t>480.7979499999996</t>
  </si>
  <si>
    <t>481.9918499999996</t>
  </si>
  <si>
    <t>483.16994999999974</t>
  </si>
  <si>
    <t>484.33789999999965</t>
  </si>
  <si>
    <t>485.48174999999975</t>
  </si>
  <si>
    <t>486.58609999999976</t>
  </si>
  <si>
    <t>487.7138999999997</t>
  </si>
  <si>
    <t>488.75239999999974</t>
  </si>
  <si>
    <t>489.7376499999998</t>
  </si>
  <si>
    <t>490.74699999999973</t>
  </si>
  <si>
    <t>491.7946999999998</t>
  </si>
  <si>
    <t>492.84099999999984</t>
  </si>
  <si>
    <t>493.8874499999999</t>
  </si>
  <si>
    <t>494.91709999999983</t>
  </si>
  <si>
    <t>495.8644999999999</t>
  </si>
  <si>
    <t>496.8170999999999</t>
  </si>
  <si>
    <t>497.71539999999993</t>
  </si>
  <si>
    <t>498.66849999999994</t>
  </si>
  <si>
    <t>499.62589999999994</t>
  </si>
  <si>
    <t>500.59049999999996</t>
  </si>
  <si>
    <t>501.59024999999997</t>
  </si>
  <si>
    <t>502.48965</t>
  </si>
  <si>
    <t>503.4784999999998</t>
  </si>
  <si>
    <t>504.5086499999998</t>
  </si>
  <si>
    <t>505.49449999999985</t>
  </si>
  <si>
    <t>506.4614999999999</t>
  </si>
  <si>
    <t>507.43804999999986</t>
  </si>
  <si>
    <t>508.35959999999994</t>
  </si>
  <si>
    <t>509.29434999999984</t>
  </si>
  <si>
    <t>510.2817499999998</t>
  </si>
  <si>
    <t>511.2682999999998</t>
  </si>
  <si>
    <t>512.2529999999997</t>
  </si>
  <si>
    <t>513.2683499999998</t>
  </si>
  <si>
    <t>514.2858999999999</t>
  </si>
  <si>
    <t>515.3240499999998</t>
  </si>
  <si>
    <t>516.3486499999998</t>
  </si>
  <si>
    <t>517.3374999999997</t>
  </si>
  <si>
    <t>518.3570999999997</t>
  </si>
  <si>
    <t>519.3485499999998</t>
  </si>
  <si>
    <t>520.3524499999999</t>
  </si>
  <si>
    <t>521.3514999999999</t>
  </si>
  <si>
    <t>522.30865</t>
  </si>
  <si>
    <t>523.28135</t>
  </si>
  <si>
    <t>524.2502499999999</t>
  </si>
  <si>
    <t>525.1755999999999</t>
  </si>
  <si>
    <t>526.0430999999999</t>
  </si>
  <si>
    <t>526.8894999999999</t>
  </si>
  <si>
    <t>527.7640499999999</t>
  </si>
  <si>
    <t>528.7031499999998</t>
  </si>
  <si>
    <t>529.6303499999999</t>
  </si>
  <si>
    <t>530.5713999999999</t>
  </si>
  <si>
    <t>531.4807</t>
  </si>
  <si>
    <t>532.39995</t>
  </si>
  <si>
    <t>533.3353999999998</t>
  </si>
  <si>
    <t>534.3121999999998</t>
  </si>
  <si>
    <t>535.3057499999999</t>
  </si>
  <si>
    <t>536.2248999999999</t>
  </si>
  <si>
    <t>537.1475999999999</t>
  </si>
  <si>
    <t>538.035</t>
  </si>
  <si>
    <t>538.9344999999998</t>
  </si>
  <si>
    <t>539.7957499999999</t>
  </si>
  <si>
    <t>540.6601999999999</t>
  </si>
  <si>
    <t>541.53975</t>
  </si>
  <si>
    <t>542.47785</t>
  </si>
  <si>
    <t>543.4166999999999</t>
  </si>
  <si>
    <t>544.38495</t>
  </si>
  <si>
    <t>545.3515499999999</t>
  </si>
  <si>
    <t>546.2992999999999</t>
  </si>
  <si>
    <t>547.24875</t>
  </si>
  <si>
    <t>548.1900999999999</t>
  </si>
  <si>
    <t>549.13125</t>
  </si>
  <si>
    <t>550.0606</t>
  </si>
  <si>
    <t>551.0135</t>
  </si>
  <si>
    <t>551.97105</t>
  </si>
  <si>
    <t>552.92545</t>
  </si>
  <si>
    <t>553.90185</t>
  </si>
  <si>
    <t>554.8725999999999</t>
  </si>
  <si>
    <t>555.8233999999999</t>
  </si>
  <si>
    <t>556.7956499999999</t>
  </si>
  <si>
    <t>557.8027999999999</t>
  </si>
  <si>
    <t>558.8024499999999</t>
  </si>
  <si>
    <t>559.8220999999999</t>
  </si>
  <si>
    <t>560.8268999999999</t>
  </si>
  <si>
    <t>561.8208</t>
  </si>
  <si>
    <t>562.814</t>
  </si>
  <si>
    <t>563.8758499999999</t>
  </si>
  <si>
    <t>564.96895</t>
  </si>
  <si>
    <t>566.0453999999999</t>
  </si>
  <si>
    <t>567.1159499999999</t>
  </si>
  <si>
    <t>568.2176499999999</t>
  </si>
  <si>
    <t>569.3462999999999</t>
  </si>
  <si>
    <t>570.4571999999998</t>
  </si>
  <si>
    <t>571.5628499999999</t>
  </si>
  <si>
    <t>572.6302499999998</t>
  </si>
  <si>
    <t>573.6802499999999</t>
  </si>
  <si>
    <t>574.7428499999999</t>
  </si>
  <si>
    <t>575.8407499999998</t>
  </si>
  <si>
    <t>576.9928999999998</t>
  </si>
  <si>
    <t>578.1485999999999</t>
  </si>
  <si>
    <t>579.3156499999998</t>
  </si>
  <si>
    <t>580.5516499999998</t>
  </si>
  <si>
    <t>581.8623999999998</t>
  </si>
  <si>
    <t>583.1898999999997</t>
  </si>
  <si>
    <t>584.6037499999998</t>
  </si>
  <si>
    <t>586.0170999999997</t>
  </si>
  <si>
    <t>587.4047999999998</t>
  </si>
  <si>
    <t>588.8799499999998</t>
  </si>
  <si>
    <t>590.3624999999997</t>
  </si>
  <si>
    <t>591.8450999999998</t>
  </si>
  <si>
    <t>593.2092999999999</t>
  </si>
  <si>
    <t>594.5782999999998</t>
  </si>
  <si>
    <t>595.9443999999999</t>
  </si>
  <si>
    <t>597.2632499999999</t>
  </si>
  <si>
    <t>598.5838499999998</t>
  </si>
  <si>
    <t>599.9823999999998</t>
  </si>
  <si>
    <t>601.3046499999998</t>
  </si>
  <si>
    <t>602.5999499999998</t>
  </si>
  <si>
    <t>603.8391499999998</t>
  </si>
  <si>
    <t>605.0342999999998</t>
  </si>
  <si>
    <t>606.3305499999999</t>
  </si>
  <si>
    <t>607.6401499999998</t>
  </si>
  <si>
    <t>609.0108499999999</t>
  </si>
  <si>
    <t>610.4842499999999</t>
  </si>
  <si>
    <t>611.9813999999999</t>
  </si>
  <si>
    <t>613.5066999999998</t>
  </si>
  <si>
    <t>614.9967999999999</t>
  </si>
  <si>
    <t>616.45565</t>
  </si>
  <si>
    <t>617.9339500000001</t>
  </si>
  <si>
    <t>619.38485</t>
  </si>
  <si>
    <t>620.8272</t>
  </si>
  <si>
    <t>622.2567999999999</t>
  </si>
  <si>
    <t>623.692</t>
  </si>
  <si>
    <t>625.0990499999998</t>
  </si>
  <si>
    <t>626.5157499999998</t>
  </si>
  <si>
    <t>627.91725</t>
  </si>
  <si>
    <t>629.3376999999999</t>
  </si>
  <si>
    <t>630.7952999999999</t>
  </si>
  <si>
    <t>632.3567999999999</t>
  </si>
  <si>
    <t>633.9143999999999</t>
  </si>
  <si>
    <t>635.4734499999998</t>
  </si>
  <si>
    <t>637.0122999999999</t>
  </si>
  <si>
    <t>638.6036499999998</t>
  </si>
  <si>
    <t>640.2091999999998</t>
  </si>
  <si>
    <t>641.8490499999997</t>
  </si>
  <si>
    <t>643.5047999999997</t>
  </si>
  <si>
    <t>645.1515999999997</t>
  </si>
  <si>
    <t>646.7531499999997</t>
  </si>
  <si>
    <t>648.3827999999997</t>
  </si>
  <si>
    <t>649.9398999999997</t>
  </si>
  <si>
    <t>651.3719499999997</t>
  </si>
  <si>
    <t>652.6571999999998</t>
  </si>
  <si>
    <t>653.9044499999997</t>
  </si>
  <si>
    <t>655.1775999999996</t>
  </si>
  <si>
    <t>656.4615999999996</t>
  </si>
  <si>
    <t>657.7438999999997</t>
  </si>
  <si>
    <t>658.9259999999998</t>
  </si>
  <si>
    <t>660.1491499999996</t>
  </si>
  <si>
    <t>661.5544999999997</t>
  </si>
  <si>
    <t>663.1479499999997</t>
  </si>
  <si>
    <t>664.7534499999997</t>
  </si>
  <si>
    <t>666.2495499999998</t>
  </si>
  <si>
    <t>667.8679999999999</t>
  </si>
  <si>
    <t>669.57385</t>
  </si>
  <si>
    <t>671.4335999999998</t>
  </si>
  <si>
    <t>673.0972999999998</t>
  </si>
  <si>
    <t>674.4442499999999</t>
  </si>
  <si>
    <t>675.8026999999997</t>
  </si>
  <si>
    <t>677.2658999999999</t>
  </si>
  <si>
    <t>678.6532</t>
  </si>
  <si>
    <t>680.0560499999999</t>
  </si>
  <si>
    <t>681.7279999999998</t>
  </si>
  <si>
    <t>683.2368499999998</t>
  </si>
  <si>
    <t>684.1854999999997</t>
  </si>
  <si>
    <t>685.1436499999996</t>
  </si>
  <si>
    <t>686.4779999999996</t>
  </si>
  <si>
    <t>688.0049999999997</t>
  </si>
  <si>
    <t>689.2661499999996</t>
  </si>
  <si>
    <t>690.1569499999996</t>
  </si>
  <si>
    <t>690.8838499999997</t>
  </si>
  <si>
    <t>691.7354999999998</t>
  </si>
  <si>
    <t>692.6472499999999</t>
  </si>
  <si>
    <t>693.5640999999997</t>
  </si>
  <si>
    <t>694.4461499999998</t>
  </si>
  <si>
    <t>695.4584499999997</t>
  </si>
  <si>
    <t>696.4540499999998</t>
  </si>
  <si>
    <t>697.5471499999999</t>
  </si>
  <si>
    <t>698.6740499999999</t>
  </si>
  <si>
    <t>699.9000499999999</t>
  </si>
  <si>
    <t>701.1504499999999</t>
  </si>
  <si>
    <t>702.5451999999999</t>
  </si>
  <si>
    <t>703.8598999999998</t>
  </si>
  <si>
    <t>705.0938999999997</t>
  </si>
  <si>
    <t>706.4071499999997</t>
  </si>
  <si>
    <t>707.7512499999997</t>
  </si>
  <si>
    <t>709.0699499999998</t>
  </si>
  <si>
    <t>710.3555999999999</t>
  </si>
  <si>
    <t>711.6734999999999</t>
  </si>
  <si>
    <t>713.0721999999998</t>
  </si>
  <si>
    <t>714.6282999999999</t>
  </si>
  <si>
    <t>716.2524999999997</t>
  </si>
  <si>
    <t>717.9738999999998</t>
  </si>
  <si>
    <t>719.7562999999999</t>
  </si>
  <si>
    <t>721.5736499999999</t>
  </si>
  <si>
    <t>723.4339</t>
  </si>
  <si>
    <t>725.3992000000002</t>
  </si>
  <si>
    <t>727.4447500000002</t>
  </si>
  <si>
    <t>729.3194000000002</t>
  </si>
  <si>
    <t>730.9049000000002</t>
  </si>
  <si>
    <t>732.6481500000002</t>
  </si>
  <si>
    <t>734.3779000000002</t>
  </si>
  <si>
    <t>736.0658500000002</t>
  </si>
  <si>
    <t>737.7821500000001</t>
  </si>
  <si>
    <t>739.5192500000002</t>
  </si>
  <si>
    <t>741.4389000000001</t>
  </si>
  <si>
    <t>743.5297000000002</t>
  </si>
  <si>
    <t>745.8437000000001</t>
  </si>
  <si>
    <t>748.3390500000002</t>
  </si>
  <si>
    <t>750.7281500000001</t>
  </si>
  <si>
    <t>753.3145500000003</t>
  </si>
  <si>
    <t>755.9841000000004</t>
  </si>
  <si>
    <t>758.7089500000003</t>
  </si>
  <si>
    <t>761.6087000000002</t>
  </si>
  <si>
    <t>764.4408000000002</t>
  </si>
  <si>
    <t>767.2290500000001</t>
  </si>
  <si>
    <t>770.11585</t>
  </si>
  <si>
    <t>773.0578</t>
  </si>
  <si>
    <t>776.07425</t>
  </si>
  <si>
    <t>779.2917</t>
  </si>
  <si>
    <t>782.71935</t>
  </si>
  <si>
    <t>786.14255</t>
  </si>
  <si>
    <t>789.48625</t>
  </si>
  <si>
    <t>792.91685</t>
  </si>
  <si>
    <t>796.2220000000001</t>
  </si>
  <si>
    <t>799.25015</t>
  </si>
  <si>
    <t>802.1706499999999</t>
  </si>
  <si>
    <t>805.2152999999998</t>
  </si>
  <si>
    <t>808.1062</t>
  </si>
  <si>
    <t>811.1477</t>
  </si>
  <si>
    <t>814.36255</t>
  </si>
  <si>
    <t>817.6353000000001</t>
  </si>
  <si>
    <t>821.0311000000002</t>
  </si>
  <si>
    <t>824.3031500000001</t>
  </si>
  <si>
    <t>827.1400500000001</t>
  </si>
  <si>
    <t>829.4905500000001</t>
  </si>
  <si>
    <t>831.7039500000001</t>
  </si>
  <si>
    <t>834.0586500000002</t>
  </si>
  <si>
    <t>836.6374000000001</t>
  </si>
  <si>
    <t>839.0580500000001</t>
  </si>
  <si>
    <t>841.26165</t>
  </si>
  <si>
    <t>843.2215500000001</t>
  </si>
  <si>
    <t>844.8534000000001</t>
  </si>
  <si>
    <t>846.6616500000001</t>
  </si>
  <si>
    <t>848.55555</t>
  </si>
  <si>
    <t>850.6414500000001</t>
  </si>
  <si>
    <t>852.6863000000001</t>
  </si>
  <si>
    <t>854.71675</t>
  </si>
  <si>
    <t>856.8994500000002</t>
  </si>
  <si>
    <t>859.1983000000001</t>
  </si>
  <si>
    <t>861.5229500000002</t>
  </si>
  <si>
    <t>864.11955</t>
  </si>
  <si>
    <t>866.8021000000001</t>
  </si>
  <si>
    <t>869.42125</t>
  </si>
  <si>
    <t>872.20645</t>
  </si>
  <si>
    <t>875.1089000000002</t>
  </si>
  <si>
    <t>878.0013500000002</t>
  </si>
  <si>
    <t>880.9704500000003</t>
  </si>
  <si>
    <t>884.0214500000002</t>
  </si>
  <si>
    <t>887.0928500000002</t>
  </si>
  <si>
    <t>890.1737000000003</t>
  </si>
  <si>
    <t>893.1257</t>
  </si>
  <si>
    <t>896.0362000000001</t>
  </si>
  <si>
    <t>898.94725</t>
  </si>
  <si>
    <t>901.8551500000001</t>
  </si>
  <si>
    <t>904.79425</t>
  </si>
  <si>
    <t>907.8609000000001</t>
  </si>
  <si>
    <t>910.8524000000001</t>
  </si>
  <si>
    <t>913.91845</t>
  </si>
  <si>
    <t>917.0783500000001</t>
  </si>
  <si>
    <t>920.2258999999999</t>
  </si>
  <si>
    <t>923.3745500000001</t>
  </si>
  <si>
    <t>926.5522000000002</t>
  </si>
  <si>
    <t>929.8110499999999</t>
  </si>
  <si>
    <t>933.1500500000001</t>
  </si>
  <si>
    <t>936.5939</t>
  </si>
  <si>
    <t>940.06205</t>
  </si>
  <si>
    <t>943.5604</t>
  </si>
  <si>
    <t>947.0188</t>
  </si>
  <si>
    <t>950.72035</t>
  </si>
  <si>
    <t>954.72455</t>
  </si>
  <si>
    <t>958.86095</t>
  </si>
  <si>
    <t>963.3613500000001</t>
  </si>
  <si>
    <t>967.9845</t>
  </si>
  <si>
    <t>972.5288</t>
  </si>
  <si>
    <t>977.1187999999999</t>
  </si>
  <si>
    <t>982.0114499999999</t>
  </si>
  <si>
    <t>987.3910000000001</t>
  </si>
  <si>
    <t>992.89485</t>
  </si>
  <si>
    <t>998.7453999999999</t>
  </si>
  <si>
    <t>1004.3636499999999</t>
  </si>
  <si>
    <t>1009.6806</t>
  </si>
  <si>
    <t>1015.30355</t>
  </si>
  <si>
    <t>1020.6392</t>
  </si>
  <si>
    <t>1025.8835</t>
  </si>
  <si>
    <t>1031.40625</t>
  </si>
  <si>
    <t>1037.08505</t>
  </si>
  <si>
    <t>1043.1987</t>
  </si>
  <si>
    <t>1049.5014</t>
  </si>
  <si>
    <t>1056.0203</t>
  </si>
  <si>
    <t>1063.01345</t>
  </si>
  <si>
    <t>1070.4931</t>
  </si>
  <si>
    <t>1078.8076999999998</t>
  </si>
  <si>
    <t>1088.0376999999999</t>
  </si>
  <si>
    <t>1096.4721499999998</t>
  </si>
  <si>
    <t>1103.3744</t>
  </si>
  <si>
    <t>1110.6175999999998</t>
  </si>
  <si>
    <t>1118.1896499999998</t>
  </si>
  <si>
    <t>1125.9977</t>
  </si>
  <si>
    <t>1133.6948499999999</t>
  </si>
  <si>
    <t>1142.1377499999999</t>
  </si>
  <si>
    <t>1150.7441499999998</t>
  </si>
  <si>
    <t>1159.7689499999997</t>
  </si>
  <si>
    <t>1168.7606999999998</t>
  </si>
  <si>
    <t>1177.9917499999997</t>
  </si>
  <si>
    <t>1188.39165</t>
  </si>
  <si>
    <t>1198.7124</t>
  </si>
  <si>
    <t>1208.76785</t>
  </si>
  <si>
    <t>1219.172</t>
  </si>
  <si>
    <t>1229.6852000000001</t>
  </si>
  <si>
    <t>1240.4090499999998</t>
  </si>
  <si>
    <t>1250.6608499999998</t>
  </si>
  <si>
    <t>1260.5068499999998</t>
  </si>
  <si>
    <t>1270.1256499999995</t>
  </si>
  <si>
    <t>1278.3303999999996</t>
  </si>
  <si>
    <t>1286.9553999999998</t>
  </si>
  <si>
    <t>1296.0653499999999</t>
  </si>
  <si>
    <t>1305.1897499999998</t>
  </si>
  <si>
    <t>1314.1844499999997</t>
  </si>
  <si>
    <t>1323.5676999999998</t>
  </si>
  <si>
    <t>1333.2237</t>
  </si>
  <si>
    <t>1342.74775</t>
  </si>
  <si>
    <t>1352.4754</t>
  </si>
  <si>
    <t>1361.9579999999999</t>
  </si>
  <si>
    <t>1370.94555</t>
  </si>
  <si>
    <t>1379.3475999999998</t>
  </si>
  <si>
    <t>1387.4525</t>
  </si>
  <si>
    <t>1396.2073</t>
  </si>
  <si>
    <t>1405.1247499999997</t>
  </si>
  <si>
    <t>1413.81885</t>
  </si>
  <si>
    <t>1422.18805</t>
  </si>
  <si>
    <t>1430.48565</t>
  </si>
  <si>
    <t>1439.1836500000002</t>
  </si>
  <si>
    <t>1448.2447500000003</t>
  </si>
  <si>
    <t>1457.1670500000005</t>
  </si>
  <si>
    <t>1466.1992000000007</t>
  </si>
  <si>
    <t>1474.9660500000007</t>
  </si>
  <si>
    <t>1483.5730000000005</t>
  </si>
  <si>
    <t>1492.1940000000004</t>
  </si>
  <si>
    <t>1500.1825000000003</t>
  </si>
  <si>
    <t>1507.3853500000002</t>
  </si>
  <si>
    <t>1514.5809000000002</t>
  </si>
  <si>
    <t>1522.0265000000006</t>
  </si>
  <si>
    <t>1528.9039500000006</t>
  </si>
  <si>
    <t>1534.6867500000005</t>
  </si>
  <si>
    <t>1539.5672000000006</t>
  </si>
  <si>
    <t>1544.9745000000005</t>
  </si>
  <si>
    <t>1551.5654500000005</t>
  </si>
  <si>
    <t>1558.33885</t>
  </si>
  <si>
    <t>1565.8679000000004</t>
  </si>
  <si>
    <t>1574.35265</t>
  </si>
  <si>
    <t>1583.0646000000002</t>
  </si>
  <si>
    <t>1591.4773500000001</t>
  </si>
  <si>
    <t>1599.9537499999997</t>
  </si>
  <si>
    <t>1608.37555</t>
  </si>
  <si>
    <t>1616.53075</t>
  </si>
  <si>
    <t>1624.8069999999998</t>
  </si>
  <si>
    <t>1634.0328999999997</t>
  </si>
  <si>
    <t>1643.1327499999998</t>
  </si>
  <si>
    <t>1652.3965499999997</t>
  </si>
  <si>
    <t>1662.38485</t>
  </si>
  <si>
    <t>1672.3059499999997</t>
  </si>
  <si>
    <t>1681.7699999999998</t>
  </si>
  <si>
    <t>1691.4580499999997</t>
  </si>
  <si>
    <t>1701.4591499999995</t>
  </si>
  <si>
    <t>1712.7540499999998</t>
  </si>
  <si>
    <t>1724.4252499999993</t>
  </si>
  <si>
    <t>1736.4559999999992</t>
  </si>
  <si>
    <t>1749.0791499999991</t>
  </si>
  <si>
    <t>1761.264849999999</t>
  </si>
  <si>
    <t>1773.662399999999</t>
  </si>
  <si>
    <t>1786.665899999999</t>
  </si>
  <si>
    <t>1801.0381499999992</t>
  </si>
  <si>
    <t>1816.7284999999995</t>
  </si>
  <si>
    <t>1833.1069999999993</t>
  </si>
  <si>
    <t>1849.4393499999992</t>
  </si>
  <si>
    <t>1865.734899999999</t>
  </si>
  <si>
    <t>1882.9174499999995</t>
  </si>
  <si>
    <t>1899.4885499999991</t>
  </si>
  <si>
    <t>1915.229299999999</t>
  </si>
  <si>
    <t>1930.879949999999</t>
  </si>
  <si>
    <t>1946.085549999999</t>
  </si>
  <si>
    <t>1960.6547999999993</t>
  </si>
  <si>
    <t>1976.3056999999992</t>
  </si>
  <si>
    <t>1992.162599999999</t>
  </si>
  <si>
    <t>2008.8353499999992</t>
  </si>
  <si>
    <t>2025.202349999999</t>
  </si>
  <si>
    <t>2041.639549999999</t>
  </si>
  <si>
    <t>2058.070299999999</t>
  </si>
  <si>
    <t>2075.5586999999987</t>
  </si>
  <si>
    <t>2093.484349999999</t>
  </si>
  <si>
    <t>2111.935799999999</t>
  </si>
  <si>
    <t>2131.120499999999</t>
  </si>
  <si>
    <t>2149.572249999999</t>
  </si>
  <si>
    <t>2167.578499999999</t>
  </si>
  <si>
    <t>2184.5059499999993</t>
  </si>
  <si>
    <t>2200.89335</t>
  </si>
  <si>
    <t>2218.4679999999994</t>
  </si>
  <si>
    <t>2236.25335</t>
  </si>
  <si>
    <t>2253.5136499999994</t>
  </si>
  <si>
    <t>2269.6892999999995</t>
  </si>
  <si>
    <t>2285.2540499999996</t>
  </si>
  <si>
    <t>2300.7622999999994</t>
  </si>
  <si>
    <t>2316.3004499999997</t>
  </si>
  <si>
    <t>2330.2263999999996</t>
  </si>
  <si>
    <t>2342.6600499999995</t>
  </si>
  <si>
    <t>2353.961799999999</t>
  </si>
  <si>
    <t>2366.7919999999995</t>
  </si>
  <si>
    <t>2379.1678999999995</t>
  </si>
  <si>
    <t>2392.8610499999995</t>
  </si>
  <si>
    <t>2406.4569499999993</t>
  </si>
  <si>
    <t>2419.9042999999997</t>
  </si>
  <si>
    <t>2432.6455999999994</t>
  </si>
  <si>
    <t>2444.4724999999994</t>
  </si>
  <si>
    <t>2456.9116499999996</t>
  </si>
  <si>
    <t>2469.5010999999995</t>
  </si>
  <si>
    <t>2482.8033499999997</t>
  </si>
  <si>
    <t>2496.4447499999997</t>
  </si>
  <si>
    <t>2510.8153999999995</t>
  </si>
  <si>
    <t>2525.818399999999</t>
  </si>
  <si>
    <t>2540.50445</t>
  </si>
  <si>
    <t>2555.7693499999996</t>
  </si>
  <si>
    <t>2571.08645</t>
  </si>
  <si>
    <t>2587.01815</t>
  </si>
  <si>
    <t>2602.9046499999995</t>
  </si>
  <si>
    <t>2618.96605</t>
  </si>
  <si>
    <t>2635.1848</t>
  </si>
  <si>
    <t>2651.770499999999</t>
  </si>
  <si>
    <t>2668.107849999999</t>
  </si>
  <si>
    <t>2685.2833499999997</t>
  </si>
  <si>
    <t>2703.3070499999994</t>
  </si>
  <si>
    <t>2722.4262</t>
  </si>
  <si>
    <t>2741.7399</t>
  </si>
  <si>
    <t>2762.4558</t>
  </si>
  <si>
    <t>2785.5761500000003</t>
  </si>
  <si>
    <t>2808.73455</t>
  </si>
  <si>
    <t>2831.6909</t>
  </si>
  <si>
    <t>2854.92075</t>
  </si>
  <si>
    <t>2877.8234000000007</t>
  </si>
  <si>
    <t>2899.519200000001</t>
  </si>
  <si>
    <t>2922.399500000001</t>
  </si>
  <si>
    <t>2945.676150000001</t>
  </si>
  <si>
    <t>2970.314100000001</t>
  </si>
  <si>
    <t>2994.236550000001</t>
  </si>
  <si>
    <t>3017.8131500000004</t>
  </si>
  <si>
    <t>3040.18895</t>
  </si>
  <si>
    <t>3062.03055</t>
  </si>
  <si>
    <t>3085.2161499999997</t>
  </si>
  <si>
    <t>3108.3180500000003</t>
  </si>
  <si>
    <t>3131.03185</t>
  </si>
  <si>
    <t>3154.3250000000007</t>
  </si>
  <si>
    <t>3178.9796</t>
  </si>
  <si>
    <t>3204.28115</t>
  </si>
  <si>
    <t>3230.9707</t>
  </si>
  <si>
    <t>3259.9032999999995</t>
  </si>
  <si>
    <t>3290.1743499999993</t>
  </si>
  <si>
    <t>3320.4304999999995</t>
  </si>
  <si>
    <t>3351.738699999999</t>
  </si>
  <si>
    <t>3381.927749999999</t>
  </si>
  <si>
    <t>3411.395999999999</t>
  </si>
  <si>
    <t>3442.1341999999986</t>
  </si>
  <si>
    <t>3472.2018999999987</t>
  </si>
  <si>
    <t>3500.7372499999988</t>
  </si>
  <si>
    <t>3527.101399999999</t>
  </si>
  <si>
    <t>3551.113299999999</t>
  </si>
  <si>
    <t>3576.2534499999992</t>
  </si>
  <si>
    <t>3602.630749999999</t>
  </si>
  <si>
    <t>3631.1934999999994</t>
  </si>
  <si>
    <t>3661.8836999999994</t>
  </si>
  <si>
    <t>3694.1892499999994</t>
  </si>
  <si>
    <t>3725.5146999999993</t>
  </si>
  <si>
    <t>3757.3432999999995</t>
  </si>
  <si>
    <t>3790.2120499999996</t>
  </si>
  <si>
    <t>3823.3291999999997</t>
  </si>
  <si>
    <t>3856.68745</t>
  </si>
  <si>
    <t>3889.9127499999995</t>
  </si>
  <si>
    <t>3922.81325</t>
  </si>
  <si>
    <t>3956.68545</t>
  </si>
  <si>
    <t>3993.30235</t>
  </si>
  <si>
    <t>4032.2664</t>
  </si>
  <si>
    <t>4072.7369</t>
  </si>
  <si>
    <t>4116.4145</t>
  </si>
  <si>
    <t>4157.195</t>
  </si>
  <si>
    <t>4199.6101</t>
  </si>
  <si>
    <t>4245.80735</t>
  </si>
  <si>
    <t>4293.2882500000005</t>
  </si>
  <si>
    <t>4341.00635</t>
  </si>
  <si>
    <t>4389.96885</t>
  </si>
  <si>
    <t>4443.51075</t>
  </si>
  <si>
    <t>4508.4812</t>
  </si>
  <si>
    <t>4576.382049999999</t>
  </si>
  <si>
    <t>4640.83155</t>
  </si>
  <si>
    <t>4701.00885</t>
  </si>
  <si>
    <t>4770.54785</t>
  </si>
  <si>
    <t>4843.12005</t>
  </si>
  <si>
    <t>4914.463100000001</t>
  </si>
  <si>
    <t>4985.939550000001</t>
  </si>
  <si>
    <t>5062.824400000001</t>
  </si>
  <si>
    <t>5141.8080500000015</t>
  </si>
  <si>
    <t>5226.891650000001</t>
  </si>
  <si>
    <t>5308.577050000001</t>
  </si>
  <si>
    <t>5387.456650000002</t>
  </si>
  <si>
    <t>5458.8074000000015</t>
  </si>
  <si>
    <t>5528.826850000001</t>
  </si>
  <si>
    <t>5584.139200000001</t>
  </si>
  <si>
    <t>5644.486150000001</t>
  </si>
  <si>
    <t>5697.968150000001</t>
  </si>
  <si>
    <t>5754.213800000001</t>
  </si>
  <si>
    <t>5816.572150000001</t>
  </si>
  <si>
    <t>5880.938200000001</t>
  </si>
  <si>
    <t>5937.666150000002</t>
  </si>
  <si>
    <t>5996.704700000002</t>
  </si>
  <si>
    <t>6049.636050000002</t>
  </si>
  <si>
    <t>6102.316350000003</t>
  </si>
  <si>
    <t>6157.917900000003</t>
  </si>
  <si>
    <t>6214.611850000003</t>
  </si>
  <si>
    <t>6277.106450000005</t>
  </si>
  <si>
    <t>6338.998650000005</t>
  </si>
  <si>
    <t>6406.2239000000045</t>
  </si>
  <si>
    <t>6476.380300000003</t>
  </si>
  <si>
    <t>6545.671350000003</t>
  </si>
  <si>
    <t>6609.090050000004</t>
  </si>
  <si>
    <t>6669.9660500000045</t>
  </si>
  <si>
    <t>6727.789250000005</t>
  </si>
  <si>
    <t>6783.2806000000055</t>
  </si>
  <si>
    <t>6839.443600000006</t>
  </si>
  <si>
    <t>6898.815650000005</t>
  </si>
  <si>
    <t>6954.281100000006</t>
  </si>
  <si>
    <t>7010.638000000006</t>
  </si>
  <si>
    <t>7057.9205000000065</t>
  </si>
  <si>
    <t>7099.3852500000075</t>
  </si>
  <si>
    <t>7144.813750000007</t>
  </si>
  <si>
    <t>7189.6503000000075</t>
  </si>
  <si>
    <t>7239.4790000000075</t>
  </si>
  <si>
    <t>7286.279100000007</t>
  </si>
  <si>
    <t>7330.2296500000075</t>
  </si>
  <si>
    <t>7371.189750000007</t>
  </si>
  <si>
    <t>7413.820900000007</t>
  </si>
  <si>
    <t>7457.6044000000065</t>
  </si>
  <si>
    <t>7500.421500000006</t>
  </si>
  <si>
    <t>7544.695350000006</t>
  </si>
  <si>
    <t>7591.424550000007</t>
  </si>
  <si>
    <t>7635.941700000007</t>
  </si>
  <si>
    <t>7679.060350000006</t>
  </si>
  <si>
    <t>7718.8971000000065</t>
  </si>
  <si>
    <t>7756.948700000005</t>
  </si>
  <si>
    <t>7790.112300000007</t>
  </si>
  <si>
    <t>7823.116700000008</t>
  </si>
  <si>
    <t>7855.505200000006</t>
  </si>
  <si>
    <t>7881.829650000007</t>
  </si>
  <si>
    <t>7902.114450000006</t>
  </si>
  <si>
    <t>7928.747650000006</t>
  </si>
  <si>
    <t>7956.024050000006</t>
  </si>
  <si>
    <t>7983.746200000006</t>
  </si>
  <si>
    <t>8014.178650000005</t>
  </si>
  <si>
    <t>8043.147700000006</t>
  </si>
  <si>
    <t>8073.940300000006</t>
  </si>
  <si>
    <t>8103.567250000006</t>
  </si>
  <si>
    <t>8134.572050000006</t>
  </si>
  <si>
    <t>8169.876050000005</t>
  </si>
  <si>
    <t>8206.453400000006</t>
  </si>
  <si>
    <t>8246.327800000006</t>
  </si>
  <si>
    <t>8286.877800000006</t>
  </si>
  <si>
    <t>8327.963250000006</t>
  </si>
  <si>
    <t>8371.720650000007</t>
  </si>
  <si>
    <t>8411.262950000006</t>
  </si>
  <si>
    <t>8446.671250000005</t>
  </si>
  <si>
    <t>8481.050300000004</t>
  </si>
  <si>
    <t>8513.474850000004</t>
  </si>
  <si>
    <t>8545.198250000005</t>
  </si>
  <si>
    <t>8577.114900000006</t>
  </si>
  <si>
    <t>8613.036150000005</t>
  </si>
  <si>
    <t>8647.527650000005</t>
  </si>
  <si>
    <t>8681.055400000005</t>
  </si>
  <si>
    <t>8715.281350000005</t>
  </si>
  <si>
    <t>8751.288050000005</t>
  </si>
  <si>
    <t>8786.649950000005</t>
  </si>
  <si>
    <t>8822.531700000005</t>
  </si>
  <si>
    <t>8856.490050000004</t>
  </si>
  <si>
    <t>8889.120250000002</t>
  </si>
  <si>
    <t>8917.906050000001</t>
  </si>
  <si>
    <t>8942.124400000004</t>
  </si>
  <si>
    <t>8969.323450000004</t>
  </si>
  <si>
    <t>8994.368600000003</t>
  </si>
  <si>
    <t>9021.317800000004</t>
  </si>
  <si>
    <t>9045.417400000004</t>
  </si>
  <si>
    <t>9067.797450000004</t>
  </si>
  <si>
    <t>9087.092200000003</t>
  </si>
  <si>
    <t>9106.846350000003</t>
  </si>
  <si>
    <t>9125.351500000002</t>
  </si>
  <si>
    <t>9140.838550000002</t>
  </si>
  <si>
    <t>9159.233500000004</t>
  </si>
  <si>
    <t>9177.985850000003</t>
  </si>
  <si>
    <t>9199.552150000005</t>
  </si>
  <si>
    <t>9220.240350000004</t>
  </si>
  <si>
    <t>9240.898650000003</t>
  </si>
  <si>
    <t>9263.960550000003</t>
  </si>
  <si>
    <t>9284.029650000004</t>
  </si>
  <si>
    <t>9302.072500000004</t>
  </si>
  <si>
    <t>9319.449900000005</t>
  </si>
  <si>
    <t>9337.537500000004</t>
  </si>
  <si>
    <t>9354.234200000004</t>
  </si>
  <si>
    <t>9367.569700000004</t>
  </si>
  <si>
    <t>9381.541450000004</t>
  </si>
  <si>
    <t>9396.091650000004</t>
  </si>
  <si>
    <t>9413.018000000004</t>
  </si>
  <si>
    <t>9432.823550000003</t>
  </si>
  <si>
    <t>9449.609500000002</t>
  </si>
  <si>
    <t>9465.259800000003</t>
  </si>
  <si>
    <t>9478.610800000004</t>
  </si>
  <si>
    <t>9493.123450000005</t>
  </si>
  <si>
    <t>9508.385150000006</t>
  </si>
  <si>
    <t>9523.355750000004</t>
  </si>
  <si>
    <t>9539.104300000005</t>
  </si>
  <si>
    <t>9554.781550000003</t>
  </si>
  <si>
    <t>9574.286800000003</t>
  </si>
  <si>
    <t>9595.400350000004</t>
  </si>
  <si>
    <t>9615.740700000002</t>
  </si>
  <si>
    <t>9636.859850000003</t>
  </si>
  <si>
    <t>9656.167050000002</t>
  </si>
  <si>
    <t>9675.675650000001</t>
  </si>
  <si>
    <t>9694.678600000003</t>
  </si>
  <si>
    <t>9714.24515</t>
  </si>
  <si>
    <t>9734.6409</t>
  </si>
  <si>
    <t>9757.06905</t>
  </si>
  <si>
    <t>9780.1851</t>
  </si>
  <si>
    <t>9803.355950000001</t>
  </si>
  <si>
    <t>9827.9999</t>
  </si>
  <si>
    <t>9851.9764</t>
  </si>
  <si>
    <t>9873.8541</t>
  </si>
  <si>
    <t>9896.85025</t>
  </si>
  <si>
    <t>9919.121</t>
  </si>
  <si>
    <t>9941.8464</t>
  </si>
  <si>
    <t>9962.6335</t>
  </si>
  <si>
    <t>9979.56065</t>
  </si>
  <si>
    <t>9996.87245</t>
  </si>
  <si>
    <t>10015.11795</t>
  </si>
  <si>
    <t>10035.0179</t>
  </si>
  <si>
    <t>10056.0542</t>
  </si>
  <si>
    <t>10077.01515</t>
  </si>
  <si>
    <t>10095.58855</t>
  </si>
  <si>
    <t>10112.944650000001</t>
  </si>
  <si>
    <t>10128.65315</t>
  </si>
  <si>
    <t>10145.7933</t>
  </si>
  <si>
    <t>10159.609199999999</t>
  </si>
  <si>
    <t>10173.53005</t>
  </si>
  <si>
    <t>10188.60365</t>
  </si>
  <si>
    <t>10202.82815</t>
  </si>
  <si>
    <t>10217.213649999998</t>
  </si>
  <si>
    <t>10230.017999999998</t>
  </si>
  <si>
    <t>10242.2352</t>
  </si>
  <si>
    <t>10252.247799999997</t>
  </si>
  <si>
    <t>10262.264899999998</t>
  </si>
  <si>
    <t>10271.3422</t>
  </si>
  <si>
    <t>10278.908399999997</t>
  </si>
  <si>
    <t>10283.996849999998</t>
  </si>
  <si>
    <t>10287.122499999996</t>
  </si>
  <si>
    <t>10287.716549999997</t>
  </si>
  <si>
    <t>10288.773399999998</t>
  </si>
  <si>
    <t>10290.805449999996</t>
  </si>
  <si>
    <t>10290.556099999998</t>
  </si>
  <si>
    <t>10290.497949999997</t>
  </si>
  <si>
    <t>10292.796349999997</t>
  </si>
  <si>
    <t>10297.561899999997</t>
  </si>
  <si>
    <t>10304.879499999997</t>
  </si>
  <si>
    <t>10310.728149999997</t>
  </si>
  <si>
    <t>10315.988349999996</t>
  </si>
  <si>
    <t>10319.332649999997</t>
  </si>
  <si>
    <t>10319.798799999997</t>
  </si>
  <si>
    <t>10318.091999999997</t>
  </si>
  <si>
    <t>10317.660399999999</t>
  </si>
  <si>
    <t>10317.007499999998</t>
  </si>
  <si>
    <t>10314.658999999998</t>
  </si>
  <si>
    <t>10311.895199999997</t>
  </si>
  <si>
    <t>10307.084649999997</t>
  </si>
  <si>
    <t>10300.053399999997</t>
  </si>
  <si>
    <t>10293.374699999997</t>
  </si>
  <si>
    <t>10283.385549999995</t>
  </si>
  <si>
    <t>10270.658499999996</t>
  </si>
  <si>
    <t>10255.523099999997</t>
  </si>
  <si>
    <t>10238.690749999996</t>
  </si>
  <si>
    <t>10219.163049999996</t>
  </si>
  <si>
    <t>10201.856899999995</t>
  </si>
  <si>
    <t>10184.416649999996</t>
  </si>
  <si>
    <t>10162.890199999996</t>
  </si>
  <si>
    <t>10140.036049999997</t>
  </si>
  <si>
    <t>10114.900899999997</t>
  </si>
  <si>
    <t>10087.002549999996</t>
  </si>
  <si>
    <t>10053.339949999996</t>
  </si>
  <si>
    <t>10009.122149999996</t>
  </si>
  <si>
    <t>9961.668049999997</t>
  </si>
  <si>
    <t>9916.795499999997</t>
  </si>
  <si>
    <t>9875.360399999996</t>
  </si>
  <si>
    <t>9822.584899999998</t>
  </si>
  <si>
    <t>9769.969249999998</t>
  </si>
  <si>
    <t>9720.039249999996</t>
  </si>
  <si>
    <t>9669.538149999997</t>
  </si>
  <si>
    <t>9614.574399999998</t>
  </si>
  <si>
    <t>9556.850549999996</t>
  </si>
  <si>
    <t>9493.834599999996</t>
  </si>
  <si>
    <t>9433.354849999996</t>
  </si>
  <si>
    <t>9375.529699999996</t>
  </si>
  <si>
    <t>9325.720949999995</t>
  </si>
  <si>
    <t>9276.934049999994</t>
  </si>
  <si>
    <t>9240.704599999994</t>
  </si>
  <si>
    <t>9198.189399999992</t>
  </si>
  <si>
    <t>9161.622249999991</t>
  </si>
  <si>
    <t>9122.889349999994</t>
  </si>
  <si>
    <t>9077.760249999994</t>
  </si>
  <si>
    <t>9030.823399999992</t>
  </si>
  <si>
    <t>8992.799049999992</t>
  </si>
  <si>
    <t>8953.401149999992</t>
  </si>
  <si>
    <t>8923.642699999993</t>
  </si>
  <si>
    <t>8894.623849999993</t>
  </si>
  <si>
    <t>8864.372099999993</t>
  </si>
  <si>
    <t>8832.116149999994</t>
  </si>
  <si>
    <t>8794.037099999996</t>
  </si>
  <si>
    <t>8757.760949999998</t>
  </si>
  <si>
    <t>8718.662249999998</t>
  </si>
  <si>
    <t>8676.216499999999</t>
  </si>
  <si>
    <t>8634.562349999998</t>
  </si>
  <si>
    <t>8597.499699999997</t>
  </si>
  <si>
    <t>8564.009649999998</t>
  </si>
  <si>
    <t>8533.905549999998</t>
  </si>
  <si>
    <t>8506.355749999997</t>
  </si>
  <si>
    <t>8477.830899999997</t>
  </si>
  <si>
    <t>8444.438799999998</t>
  </si>
  <si>
    <t>8414.292849999996</t>
  </si>
  <si>
    <t>8382.243899999996</t>
  </si>
  <si>
    <t>8359.438599999996</t>
  </si>
  <si>
    <t>8340.863249999997</t>
  </si>
  <si>
    <t>8318.203999999996</t>
  </si>
  <si>
    <t>8296.037099999996</t>
  </si>
  <si>
    <t>8265.805599999998</t>
  </si>
  <si>
    <t>8238.022449999997</t>
  </si>
  <si>
    <t>8213.36365</t>
  </si>
  <si>
    <t>8190.447599999999</t>
  </si>
  <si>
    <t>8166.9473499999995</t>
  </si>
  <si>
    <t>8142.2282000000005</t>
  </si>
  <si>
    <t>8117.480600000001</t>
  </si>
  <si>
    <t>8093.3639</t>
  </si>
  <si>
    <t>8066.718349999998</t>
  </si>
  <si>
    <t>8042.836499999999</t>
  </si>
  <si>
    <t>8020.8539</t>
  </si>
  <si>
    <t>8002.672100000001</t>
  </si>
  <si>
    <t>7987.33665</t>
  </si>
  <si>
    <t>7976.11875</t>
  </si>
  <si>
    <t>7965.09175</t>
  </si>
  <si>
    <t>7953.37125</t>
  </si>
  <si>
    <t>7947.389</t>
  </si>
  <si>
    <t>7947.1888500000005</t>
  </si>
  <si>
    <t>7940.2108</t>
  </si>
  <si>
    <t>7932.77435</t>
  </si>
  <si>
    <t>7926.39925</t>
  </si>
  <si>
    <t>7918.147400000001</t>
  </si>
  <si>
    <t>7911.3586</t>
  </si>
  <si>
    <t>7902.57465</t>
  </si>
  <si>
    <t>7894.5696499999995</t>
  </si>
  <si>
    <t>7886.17875</t>
  </si>
  <si>
    <t>7873.674400000001</t>
  </si>
  <si>
    <t>7859.923449999999</t>
  </si>
  <si>
    <t>7841.2587</t>
  </si>
  <si>
    <t>7819.3878</t>
  </si>
  <si>
    <t>7796.925449999998</t>
  </si>
  <si>
    <t>7771.424399999998</t>
  </si>
  <si>
    <t>7748.184399999999</t>
  </si>
  <si>
    <t>7728.279999999999</t>
  </si>
  <si>
    <t>7709.050899999998</t>
  </si>
  <si>
    <t>7691.049100000001</t>
  </si>
  <si>
    <t>7674.878450000001</t>
  </si>
  <si>
    <t>7658.489650000002</t>
  </si>
  <si>
    <t>7637.595750000002</t>
  </si>
  <si>
    <t>7616.687950000001</t>
  </si>
  <si>
    <t>7595.352000000003</t>
  </si>
  <si>
    <t>7571.733100000004</t>
  </si>
  <si>
    <t>7546.573750000002</t>
  </si>
  <si>
    <t>7522.432150000002</t>
  </si>
  <si>
    <t>7498.298900000002</t>
  </si>
  <si>
    <t>7476.724750000002</t>
  </si>
  <si>
    <t>7457.190550000002</t>
  </si>
  <si>
    <t>7441.0356</t>
  </si>
  <si>
    <t>7428.802950000001</t>
  </si>
  <si>
    <t>7414.386350000002</t>
  </si>
  <si>
    <t>7401.130900000002</t>
  </si>
  <si>
    <t>7386.489600000002</t>
  </si>
  <si>
    <t>7373.408700000001</t>
  </si>
  <si>
    <t>7362.390250000001</t>
  </si>
  <si>
    <t>7354.354100000001</t>
  </si>
  <si>
    <t>7345.882150000002</t>
  </si>
  <si>
    <t>7337.4767</t>
  </si>
  <si>
    <t>7331.966050000002</t>
  </si>
  <si>
    <t>7322.998850000003</t>
  </si>
  <si>
    <t>7313.086000000001</t>
  </si>
  <si>
    <t>7300.989800000001</t>
  </si>
  <si>
    <t>7290.457450000003</t>
  </si>
  <si>
    <t>7280.940150000001</t>
  </si>
  <si>
    <t>7269.158250000002</t>
  </si>
  <si>
    <t>7257.669900000001</t>
  </si>
  <si>
    <t>7248.039800000001</t>
  </si>
  <si>
    <t>7239.539300000003</t>
  </si>
  <si>
    <t>7231.394850000002</t>
  </si>
  <si>
    <t>7226.614150000003</t>
  </si>
  <si>
    <t>7225.027700000002</t>
  </si>
  <si>
    <t>7222.396250000002</t>
  </si>
  <si>
    <t>7220.817850000001</t>
  </si>
  <si>
    <t>7218.019350000003</t>
  </si>
  <si>
    <t>7213.424550000002</t>
  </si>
  <si>
    <t>7210.509000000002</t>
  </si>
  <si>
    <t>7208.94685</t>
  </si>
  <si>
    <t>7208.137200000001</t>
  </si>
  <si>
    <t>7206.2192000000005</t>
  </si>
  <si>
    <t>7203.60025</t>
  </si>
  <si>
    <t>7202.01815</t>
  </si>
  <si>
    <t>7200.5301500000005</t>
  </si>
  <si>
    <t>7198.6066</t>
  </si>
  <si>
    <t>7192.6425</t>
  </si>
  <si>
    <t>7184.0644</t>
  </si>
  <si>
    <t>7175.75315</t>
  </si>
  <si>
    <t>7166.378449999998</t>
  </si>
  <si>
    <t>7157.968249999997</t>
  </si>
  <si>
    <t>7149.501549999997</t>
  </si>
  <si>
    <t>7140.841349999998</t>
  </si>
  <si>
    <t>7131.860099999998</t>
  </si>
  <si>
    <t>7121.565349999998</t>
  </si>
  <si>
    <t>7110.199149999997</t>
  </si>
  <si>
    <t>7098.207799999998</t>
  </si>
  <si>
    <t>7085.755549999997</t>
  </si>
  <si>
    <t>7071.354349999995</t>
  </si>
  <si>
    <t>7057.561749999996</t>
  </si>
  <si>
    <t>7045.214349999995</t>
  </si>
  <si>
    <t>7030.813399999995</t>
  </si>
  <si>
    <t>7015.8622499999965</t>
  </si>
  <si>
    <t>6997.148749999997</t>
  </si>
  <si>
    <t>6978.7723499999975</t>
  </si>
  <si>
    <t>6961.435549999996</t>
  </si>
  <si>
    <t>6943.771349999995</t>
  </si>
  <si>
    <t>6923.934249999995</t>
  </si>
  <si>
    <t>6898.647249999994</t>
  </si>
  <si>
    <t>6872.020749999996</t>
  </si>
  <si>
    <t>6846.586399999996</t>
  </si>
  <si>
    <t>6821.271549999996</t>
  </si>
  <si>
    <t>6796.577899999997</t>
  </si>
  <si>
    <t>6769.552699999997</t>
  </si>
  <si>
    <t>6742.677999999997</t>
  </si>
  <si>
    <t>6718.188399999997</t>
  </si>
  <si>
    <t>6696.212499999997</t>
  </si>
  <si>
    <t>6674.617099999996</t>
  </si>
  <si>
    <t>6651.4705499999955</t>
  </si>
  <si>
    <t>6628.799949999995</t>
  </si>
  <si>
    <t>6608.028899999996</t>
  </si>
  <si>
    <t>6586.455499999997</t>
  </si>
  <si>
    <t>6565.665549999996</t>
  </si>
  <si>
    <t>6543.809199999994</t>
  </si>
  <si>
    <t>6520.918349999996</t>
  </si>
  <si>
    <t>6495.574649999996</t>
  </si>
  <si>
    <t>6471.413099999996</t>
  </si>
  <si>
    <t>6449.482649999995</t>
  </si>
  <si>
    <t>6429.291049999996</t>
  </si>
  <si>
    <t>6409.092749999997</t>
  </si>
  <si>
    <t>6388.760049999998</t>
  </si>
  <si>
    <t>6369.192199999999</t>
  </si>
  <si>
    <t>6349.476399999998</t>
  </si>
  <si>
    <t>6328.571749999998</t>
  </si>
  <si>
    <t>6307.474649999998</t>
  </si>
  <si>
    <t>6286.578149999999</t>
  </si>
  <si>
    <t>6266.797699999999</t>
  </si>
  <si>
    <t>6247.501249999998</t>
  </si>
  <si>
    <t>6229.295999999999</t>
  </si>
  <si>
    <t>6211.729700000001</t>
  </si>
  <si>
    <t>6193.752</t>
  </si>
  <si>
    <t>6175.8116500000015</t>
  </si>
  <si>
    <t>6158.242300000002</t>
  </si>
  <si>
    <t>6139.096950000002</t>
  </si>
  <si>
    <t>6120.027250000002</t>
  </si>
  <si>
    <t>6102.719500000002</t>
  </si>
  <si>
    <t>6087.115000000002</t>
  </si>
  <si>
    <t>6072.471750000001</t>
  </si>
  <si>
    <t>6059.349700000001</t>
  </si>
  <si>
    <t>6045.766900000001</t>
  </si>
  <si>
    <t>6031.556800000002</t>
  </si>
  <si>
    <t>6018.271250000002</t>
  </si>
  <si>
    <t>6004.953450000001</t>
  </si>
  <si>
    <t>5991.67525</t>
  </si>
  <si>
    <t>5977.3103</t>
  </si>
  <si>
    <t>5963.2456</t>
  </si>
  <si>
    <t>5949.764850000001</t>
  </si>
  <si>
    <t>5938.140500000001</t>
  </si>
  <si>
    <t>5927.665150000002</t>
  </si>
  <si>
    <t>5916.986350000004</t>
  </si>
  <si>
    <t>5904.519050000003</t>
  </si>
  <si>
    <t>5891.782150000002</t>
  </si>
  <si>
    <t>5879.512250000003</t>
  </si>
  <si>
    <t>5866.877150000003</t>
  </si>
  <si>
    <t>5855.736300000002</t>
  </si>
  <si>
    <t>5842.055300000002</t>
  </si>
  <si>
    <t>5828.38665</t>
  </si>
  <si>
    <t>5814.827300000001</t>
  </si>
  <si>
    <t>5800.4162</t>
  </si>
  <si>
    <t>5786.016</t>
  </si>
  <si>
    <t>5770.586699999999</t>
  </si>
  <si>
    <t>5755.345449999998</t>
  </si>
  <si>
    <t>5740.174949999998</t>
  </si>
  <si>
    <t>5723.980499999998</t>
  </si>
  <si>
    <t>5708.088299999998</t>
  </si>
  <si>
    <t>5694.0886999999975</t>
  </si>
  <si>
    <t>5680.092149999999</t>
  </si>
  <si>
    <t>5666.443649999998</t>
  </si>
  <si>
    <t>5652.385849999999</t>
  </si>
  <si>
    <t>5638.437099999997</t>
  </si>
  <si>
    <t>5624.083399999996</t>
  </si>
  <si>
    <t>5608.280499999996</t>
  </si>
  <si>
    <t>5592.066499999995</t>
  </si>
  <si>
    <t>5572.698849999995</t>
  </si>
  <si>
    <t>5553.0115499999965</t>
  </si>
  <si>
    <t>5533.081999999998</t>
  </si>
  <si>
    <t>5513.400049999997</t>
  </si>
  <si>
    <t>5493.258699999997</t>
  </si>
  <si>
    <t>5472.053549999998</t>
  </si>
  <si>
    <t>5449.491399999996</t>
  </si>
  <si>
    <t>5426.824399999999</t>
  </si>
  <si>
    <t>5403.958299999998</t>
  </si>
  <si>
    <t>5382.406899999998</t>
  </si>
  <si>
    <t>5359.6505499999985</t>
  </si>
  <si>
    <t>5336.765599999997</t>
  </si>
  <si>
    <t>5314.135699999998</t>
  </si>
  <si>
    <t>5292.416649999998</t>
  </si>
  <si>
    <t>5272.6318999999985</t>
  </si>
  <si>
    <t>5253.4652499999975</t>
  </si>
  <si>
    <t>5236.090899999997</t>
  </si>
  <si>
    <t>5218.872799999997</t>
  </si>
  <si>
    <t>5203.478299999997</t>
  </si>
  <si>
    <t>5188.410349999997</t>
  </si>
  <si>
    <t>5173.084749999997</t>
  </si>
  <si>
    <t>5161.275899999997</t>
  </si>
  <si>
    <t>5148.6021999999975</t>
  </si>
  <si>
    <t>5135.610249999997</t>
  </si>
  <si>
    <t>5124.115699999998</t>
  </si>
  <si>
    <t>5111.705749999997</t>
  </si>
  <si>
    <t>5099.274099999998</t>
  </si>
  <si>
    <t>5088.229949999997</t>
  </si>
  <si>
    <t>5075.666699999998</t>
  </si>
  <si>
    <t>5062.705149999998</t>
  </si>
  <si>
    <t>5049.152699999997</t>
  </si>
  <si>
    <t>5036.107399999997</t>
  </si>
  <si>
    <t>5023.655249999997</t>
  </si>
  <si>
    <t>5010.892349999997</t>
  </si>
  <si>
    <t>4998.414899999997</t>
  </si>
  <si>
    <t>4984.764599999998</t>
  </si>
  <si>
    <t>4972.099149999997</t>
  </si>
  <si>
    <t>4958.8807499999975</t>
  </si>
  <si>
    <t>4944.763549999998</t>
  </si>
  <si>
    <t>4930.818999999998</t>
  </si>
  <si>
    <t>4916.863349999997</t>
  </si>
  <si>
    <t>4901.964649999997</t>
  </si>
  <si>
    <t>4886.802249999998</t>
  </si>
  <si>
    <t>4872.222249999997</t>
  </si>
  <si>
    <t>4857.599449999998</t>
  </si>
  <si>
    <t>4842.497999999998</t>
  </si>
  <si>
    <t>4826.632899999998</t>
  </si>
  <si>
    <t>4810.467599999998</t>
  </si>
  <si>
    <t>4793.855699999998</t>
  </si>
  <si>
    <t>4778.777399999998</t>
  </si>
  <si>
    <t>4766.5877999999975</t>
  </si>
  <si>
    <t>4753.986799999998</t>
  </si>
  <si>
    <t>4741.902699999998</t>
  </si>
  <si>
    <t>4730.278349999999</t>
  </si>
  <si>
    <t>4719.104499999999</t>
  </si>
  <si>
    <t>4707.931599999998</t>
  </si>
  <si>
    <t>4696.905699999998</t>
  </si>
  <si>
    <t>4685.259099999998</t>
  </si>
  <si>
    <t>4676.326649999999</t>
  </si>
  <si>
    <t>4668.727399999998</t>
  </si>
  <si>
    <t>4661.243599999998</t>
  </si>
  <si>
    <t>4653.861699999998</t>
  </si>
  <si>
    <t>4647.448449999998</t>
  </si>
  <si>
    <t>4641.438899999998</t>
  </si>
  <si>
    <t>4635.515899999998</t>
  </si>
  <si>
    <t>4628.082549999997</t>
  </si>
  <si>
    <t>4620.8229999999985</t>
  </si>
  <si>
    <t>4612.661049999998</t>
  </si>
  <si>
    <t>4604.863749999998</t>
  </si>
  <si>
    <t>4598.169499999998</t>
  </si>
  <si>
    <t>4591.187199999998</t>
  </si>
  <si>
    <t>4584.458899999997</t>
  </si>
  <si>
    <t>4576.612849999998</t>
  </si>
  <si>
    <t>4569.955549999998</t>
  </si>
  <si>
    <t>4563.390749999998</t>
  </si>
  <si>
    <t>4556.753749999998</t>
  </si>
  <si>
    <t>4550.5511499999975</t>
  </si>
  <si>
    <t>4544.573499999998</t>
  </si>
  <si>
    <t>4538.287949999998</t>
  </si>
  <si>
    <t>4533.308399999998</t>
  </si>
  <si>
    <t>4527.764399999998</t>
  </si>
  <si>
    <t>4522.239149999998</t>
  </si>
  <si>
    <t>4515.465299999997</t>
  </si>
  <si>
    <t>4508.6151999999975</t>
  </si>
  <si>
    <t>4502.177949999997</t>
  </si>
  <si>
    <t>4497.039349999997</t>
  </si>
  <si>
    <t>4492.027749999997</t>
  </si>
  <si>
    <t>4487.535249999996</t>
  </si>
  <si>
    <t>4483.253049999997</t>
  </si>
  <si>
    <t>4479.056099999996</t>
  </si>
  <si>
    <t>4475.144599999996</t>
  </si>
  <si>
    <t>4471.334299999996</t>
  </si>
  <si>
    <t>4467.226649999996</t>
  </si>
  <si>
    <t>4464.565299999997</t>
  </si>
  <si>
    <t>4461.701349999996</t>
  </si>
  <si>
    <t>4459.528199999997</t>
  </si>
  <si>
    <t>4458.657399999997</t>
  </si>
  <si>
    <t>4460.291049999997</t>
  </si>
  <si>
    <t>4463.558199999997</t>
  </si>
  <si>
    <t>4467.715699999998</t>
  </si>
  <si>
    <t>4475.298999999997</t>
  </si>
  <si>
    <t>4483.0053499999985</t>
  </si>
  <si>
    <t>4490.411899999998</t>
  </si>
  <si>
    <t>4494.716749999999</t>
  </si>
  <si>
    <t>4499.681499999999</t>
  </si>
  <si>
    <t>4507.77565</t>
  </si>
  <si>
    <t>4515.4019499999995</t>
  </si>
  <si>
    <t>4523.25195</t>
  </si>
  <si>
    <t>4531.0452</t>
  </si>
  <si>
    <t>4537.648749999999</t>
  </si>
  <si>
    <t>4545.4367</t>
  </si>
  <si>
    <t>4553.45355</t>
  </si>
  <si>
    <t>4560.8405999999995</t>
  </si>
  <si>
    <t>4572.1906500000005</t>
  </si>
  <si>
    <t>4583.7401</t>
  </si>
  <si>
    <t>4595.0283500000005</t>
  </si>
  <si>
    <t>4606.580400000001</t>
  </si>
  <si>
    <t>4616.388800000001</t>
  </si>
  <si>
    <t>4627.350850000001</t>
  </si>
  <si>
    <t>4639.428450000001</t>
  </si>
  <si>
    <t>4654.17265</t>
  </si>
  <si>
    <t>4666.027300000001</t>
  </si>
  <si>
    <t>4677.377700000001</t>
  </si>
  <si>
    <t>4688.459100000001</t>
  </si>
  <si>
    <t>4701.796050000001</t>
  </si>
  <si>
    <t>4718.643250000001</t>
  </si>
  <si>
    <t>4735.575500000001</t>
  </si>
  <si>
    <t>4752.69645</t>
  </si>
  <si>
    <t>4770.859650000001</t>
  </si>
  <si>
    <t>4789.311700000002</t>
  </si>
  <si>
    <t>4810.974000000001</t>
  </si>
  <si>
    <t>4832.647000000001</t>
  </si>
  <si>
    <t>4857.333300000001</t>
  </si>
  <si>
    <t>4882.4619</t>
  </si>
  <si>
    <t>4907.490200000001</t>
  </si>
  <si>
    <t>4933.161300000001</t>
  </si>
  <si>
    <t>4958.067450000001</t>
  </si>
  <si>
    <t>4983.773100000001</t>
  </si>
  <si>
    <t>5012.812250000001</t>
  </si>
  <si>
    <t>5046.6221000000005</t>
  </si>
  <si>
    <t>5080.96025</t>
  </si>
  <si>
    <t>5116.5742</t>
  </si>
  <si>
    <t>5156.17975</t>
  </si>
  <si>
    <t>5202.270850000001</t>
  </si>
  <si>
    <t>5243.9141</t>
  </si>
  <si>
    <t>5285.39915</t>
  </si>
  <si>
    <t>5327.879300000001</t>
  </si>
  <si>
    <t>5368.489300000002</t>
  </si>
  <si>
    <t>5406.071600000001</t>
  </si>
  <si>
    <t>5441.154050000001</t>
  </si>
  <si>
    <t>5481.550450000002</t>
  </si>
  <si>
    <t>5524.115600000001</t>
  </si>
  <si>
    <t>5563.202950000001</t>
  </si>
  <si>
    <t>5602.356450000001</t>
  </si>
  <si>
    <t>5639.757950000002</t>
  </si>
  <si>
    <t>5678.713500000002</t>
  </si>
  <si>
    <t>5721.235150000001</t>
  </si>
  <si>
    <t>5766.152850000001</t>
  </si>
  <si>
    <t>5804.095250000001</t>
  </si>
  <si>
    <t>5841.3677000000025</t>
  </si>
  <si>
    <t>5879.437950000001</t>
  </si>
  <si>
    <t>5914.145800000001</t>
  </si>
  <si>
    <t>5946.929650000001</t>
  </si>
  <si>
    <t>5981.971350000002</t>
  </si>
  <si>
    <t>6010.208350000001</t>
  </si>
  <si>
    <t>6040.2035000000005</t>
  </si>
  <si>
    <t>6073.6342</t>
  </si>
  <si>
    <t>6107.89485</t>
  </si>
  <si>
    <t>6141.634599999999</t>
  </si>
  <si>
    <t>6174.79965</t>
  </si>
  <si>
    <t>6206.064299999999</t>
  </si>
  <si>
    <t>6235.2958</t>
  </si>
  <si>
    <t>6266.405849999999</t>
  </si>
  <si>
    <t>6295.239449999999</t>
  </si>
  <si>
    <t>6322.6846</t>
  </si>
  <si>
    <t>6350.1041</t>
  </si>
  <si>
    <t>6378.7266</t>
  </si>
  <si>
    <t>6408.080850000001</t>
  </si>
  <si>
    <t>6438.7128</t>
  </si>
  <si>
    <t>6470.573</t>
  </si>
  <si>
    <t>6505.0329</t>
  </si>
  <si>
    <t>6540.644750000001</t>
  </si>
  <si>
    <t>6576.5076</t>
  </si>
  <si>
    <t>6616.991749999999</t>
  </si>
  <si>
    <t>6657.3321</t>
  </si>
  <si>
    <t>6696.973099999999</t>
  </si>
  <si>
    <t>6737.9024</t>
  </si>
  <si>
    <t>6779.2029999999995</t>
  </si>
  <si>
    <t>6818.628799999999</t>
  </si>
  <si>
    <t>6857.5884</t>
  </si>
  <si>
    <t>6896.60575</t>
  </si>
  <si>
    <t>6934.948649999998</t>
  </si>
  <si>
    <t>6969.587449999999</t>
  </si>
  <si>
    <t>7001.929399999998</t>
  </si>
  <si>
    <t>7036.266249999999</t>
  </si>
  <si>
    <t>7070.7338500000005</t>
  </si>
  <si>
    <t>7105.22315</t>
  </si>
  <si>
    <t>7141.391849999999</t>
  </si>
  <si>
    <t>7177.816999999999</t>
  </si>
  <si>
    <t>7211.274649999999</t>
  </si>
  <si>
    <t>7244.347499999999</t>
  </si>
  <si>
    <t>7278.052149999999</t>
  </si>
  <si>
    <t>7311.276</t>
  </si>
  <si>
    <t>7344.748199999999</t>
  </si>
  <si>
    <t>7379.4055499999995</t>
  </si>
  <si>
    <t>7413.0809</t>
  </si>
  <si>
    <t>7445.5604</t>
  </si>
  <si>
    <t>7474.86665</t>
  </si>
  <si>
    <t>7504.51005</t>
  </si>
  <si>
    <t>7534.4317</t>
  </si>
  <si>
    <t>7564.4039</t>
  </si>
  <si>
    <t>7595.497249999999</t>
  </si>
  <si>
    <t>7629.4932</t>
  </si>
  <si>
    <t>7664.1834499999995</t>
  </si>
  <si>
    <t>7698.847049999999</t>
  </si>
  <si>
    <t>7733.61675</t>
  </si>
  <si>
    <t>7765.9989000000005</t>
  </si>
  <si>
    <t>7798.421899999999</t>
  </si>
  <si>
    <t>7830.31835</t>
  </si>
  <si>
    <t>7861.775149999999</t>
  </si>
  <si>
    <t>7892.309049999999</t>
  </si>
  <si>
    <t>7922.6939999999995</t>
  </si>
  <si>
    <t>7955.103599999999</t>
  </si>
  <si>
    <t>7987.526049999999</t>
  </si>
  <si>
    <t>8019.944099999998</t>
  </si>
  <si>
    <t>8052.367349999999</t>
  </si>
  <si>
    <t>8084.297649999998</t>
  </si>
  <si>
    <t>8116.124299999997</t>
  </si>
  <si>
    <t>8146.381899999997</t>
  </si>
  <si>
    <t>8178.466099999998</t>
  </si>
  <si>
    <t>8209.835099999997</t>
  </si>
  <si>
    <t>8240.495249999996</t>
  </si>
  <si>
    <t>8270.674599999997</t>
  </si>
  <si>
    <t>8299.713049999997</t>
  </si>
  <si>
    <t>8322.276449999998</t>
  </si>
  <si>
    <t>8344.683199999998</t>
  </si>
  <si>
    <t>8365.493199999997</t>
  </si>
  <si>
    <t>8386.982649999998</t>
  </si>
  <si>
    <t>8408.191399999996</t>
  </si>
  <si>
    <t>8429.073649999997</t>
  </si>
  <si>
    <t>8451.238749999997</t>
  </si>
  <si>
    <t>8472.431199999997</t>
  </si>
  <si>
    <t>8493.650499999996</t>
  </si>
  <si>
    <t>8514.481299999998</t>
  </si>
  <si>
    <t>8534.891249999997</t>
  </si>
  <si>
    <t>8554.914999999997</t>
  </si>
  <si>
    <t>8574.786549999997</t>
  </si>
  <si>
    <t>8595.774049999998</t>
  </si>
  <si>
    <t>8616.833499999999</t>
  </si>
  <si>
    <t>8639.551699999996</t>
  </si>
  <si>
    <t>8661.363299999997</t>
  </si>
  <si>
    <t>8683.332749999998</t>
  </si>
  <si>
    <t>8704.793499999998</t>
  </si>
  <si>
    <t>8726.147449999997</t>
  </si>
  <si>
    <t>8747.335549999998</t>
  </si>
  <si>
    <t>8767.0865</t>
  </si>
  <si>
    <t>8787.002849999997</t>
  </si>
  <si>
    <t>8806.147599999998</t>
  </si>
  <si>
    <t>8822.465399999997</t>
  </si>
  <si>
    <t>8837.417449999999</t>
  </si>
  <si>
    <t>8853.601299999998</t>
  </si>
  <si>
    <t>8869.777949999998</t>
  </si>
  <si>
    <t>8884.632399999999</t>
  </si>
  <si>
    <t>8896.358199999999</t>
  </si>
  <si>
    <t>8908.406149999999</t>
  </si>
  <si>
    <t>8928.381199999998</t>
  </si>
  <si>
    <t>8949.008449999998</t>
  </si>
  <si>
    <t>8970.700399999998</t>
  </si>
  <si>
    <t>8992.406899999998</t>
  </si>
  <si>
    <t>9013.015899999999</t>
  </si>
  <si>
    <t>9033.447999999999</t>
  </si>
  <si>
    <t>9053.459649999997</t>
  </si>
  <si>
    <t>9074.471449999997</t>
  </si>
  <si>
    <t>9094.413349999997</t>
  </si>
  <si>
    <t>9114.203849999998</t>
  </si>
  <si>
    <t>9134.627499999997</t>
  </si>
  <si>
    <t>9154.727649999999</t>
  </si>
  <si>
    <t>9174.5363</t>
  </si>
  <si>
    <t>9193.18155</t>
  </si>
  <si>
    <t>9209.49375</t>
  </si>
  <si>
    <t>9226.433399999998</t>
  </si>
  <si>
    <t>9242.907849999998</t>
  </si>
  <si>
    <t>9260.412299999998</t>
  </si>
  <si>
    <t>9278.092849999997</t>
  </si>
  <si>
    <t>9295.270199999999</t>
  </si>
  <si>
    <t>9312.118199999999</t>
  </si>
  <si>
    <t>9328.354949999999</t>
  </si>
  <si>
    <t>9344.423449999998</t>
  </si>
  <si>
    <t>9359.825499999999</t>
  </si>
  <si>
    <t>9372.015699999998</t>
  </si>
  <si>
    <t>9383.56145</t>
  </si>
  <si>
    <t>9394.422349999999</t>
  </si>
  <si>
    <t>9402.62975</t>
  </si>
  <si>
    <t>9409.30195</t>
  </si>
  <si>
    <t>9416.0855</t>
  </si>
  <si>
    <t>9421.065349999999</t>
  </si>
  <si>
    <t>9425.483699999999</t>
  </si>
  <si>
    <t>9427.79335</t>
  </si>
  <si>
    <t>9429.82505</t>
  </si>
  <si>
    <t>9431.191449999998</t>
  </si>
  <si>
    <t>9429.850849999999</t>
  </si>
  <si>
    <t>9426.57745</t>
  </si>
  <si>
    <t>9423.30135</t>
  </si>
  <si>
    <t>9423.599400000001</t>
  </si>
  <si>
    <t>9423.268250000001</t>
  </si>
  <si>
    <t>9420.335700000001</t>
  </si>
  <si>
    <t>9417.95695</t>
  </si>
  <si>
    <t>9416.0707</t>
  </si>
  <si>
    <t>9414.23855</t>
  </si>
  <si>
    <t>9413.3272</t>
  </si>
  <si>
    <t>9410.119999999999</t>
  </si>
  <si>
    <t>9406.2676</t>
  </si>
  <si>
    <t>9402.28885</t>
  </si>
  <si>
    <t>9394.80715</t>
  </si>
  <si>
    <t>9387.3043</t>
  </si>
  <si>
    <t>9379.597600000001</t>
  </si>
  <si>
    <t>9371.592550000001</t>
  </si>
  <si>
    <t>9364.3685</t>
  </si>
  <si>
    <t>9355.0649</t>
  </si>
  <si>
    <t>9347.46995</t>
  </si>
  <si>
    <t>9340.733</t>
  </si>
  <si>
    <t>9336.830550000002</t>
  </si>
  <si>
    <t>9333.83135</t>
  </si>
  <si>
    <t>9332.547700000001</t>
  </si>
  <si>
    <t>9329.3721</t>
  </si>
  <si>
    <t>9325.937750000001</t>
  </si>
  <si>
    <t>9322.800500000001</t>
  </si>
  <si>
    <t>9319.3418</t>
  </si>
  <si>
    <t>9316.34675</t>
  </si>
  <si>
    <t>9313.441200000001</t>
  </si>
  <si>
    <t>9309.53885</t>
  </si>
  <si>
    <t>9304.370200000001</t>
  </si>
  <si>
    <t>9297.051300000001</t>
  </si>
  <si>
    <t>9287.360700000001</t>
  </si>
  <si>
    <t>9277.679250000001</t>
  </si>
  <si>
    <t>9268.568800000003</t>
  </si>
  <si>
    <t>9260.274650000001</t>
  </si>
  <si>
    <t>9251.639650000001</t>
  </si>
  <si>
    <t>9242.1151</t>
  </si>
  <si>
    <t>9230.0511</t>
  </si>
  <si>
    <t>9215.963049999998</t>
  </si>
  <si>
    <t>9200.9208</t>
  </si>
  <si>
    <t>9184.7678</t>
  </si>
  <si>
    <t>9162.2249</t>
  </si>
  <si>
    <t>9143.731749999999</t>
  </si>
  <si>
    <t>9127.221899999999</t>
  </si>
  <si>
    <t>9111.38005</t>
  </si>
  <si>
    <t>9096.79905</t>
  </si>
  <si>
    <t>9086.5217</t>
  </si>
  <si>
    <t>9079.4487</t>
  </si>
  <si>
    <t>9066.505949999999</t>
  </si>
  <si>
    <t>9050.9139</t>
  </si>
  <si>
    <t>9038.25305</t>
  </si>
  <si>
    <t>9024.725</t>
  </si>
  <si>
    <t>9010.640999999998</t>
  </si>
  <si>
    <t>8993.38005</t>
  </si>
  <si>
    <t>8972.3403</t>
  </si>
  <si>
    <t>8950.20775</t>
  </si>
  <si>
    <t>8935.66755</t>
  </si>
  <si>
    <t>8922.684849999998</t>
  </si>
  <si>
    <t>8912.2162</t>
  </si>
  <si>
    <t>8905.193449999999</t>
  </si>
  <si>
    <t>8900.1802</t>
  </si>
  <si>
    <t>8893.688800000002</t>
  </si>
  <si>
    <t>8892.8009</t>
  </si>
  <si>
    <t>8890.2211</t>
  </si>
  <si>
    <t>8883.761300000002</t>
  </si>
  <si>
    <t>8877.878</t>
  </si>
  <si>
    <t>8873.037400000001</t>
  </si>
  <si>
    <t>8869.3037</t>
  </si>
  <si>
    <t>8867.8814</t>
  </si>
  <si>
    <t>8869.662400000001</t>
  </si>
  <si>
    <t>8868.496000000001</t>
  </si>
  <si>
    <t>8868.65565</t>
  </si>
  <si>
    <t>8872.6129</t>
  </si>
  <si>
    <t>8876.10045</t>
  </si>
  <si>
    <t>8879.5421</t>
  </si>
  <si>
    <t>8882.876450000002</t>
  </si>
  <si>
    <t>8883.543450000003</t>
  </si>
  <si>
    <t>8881.837900000002</t>
  </si>
  <si>
    <t>8878.36945</t>
  </si>
  <si>
    <t>8874.967100000002</t>
  </si>
  <si>
    <t>8868.845150000001</t>
  </si>
  <si>
    <t>8858.551100000002</t>
  </si>
  <si>
    <t>8848.155400000003</t>
  </si>
  <si>
    <t>8839.156400000002</t>
  </si>
  <si>
    <t>8828.745700000001</t>
  </si>
  <si>
    <t>8817.3454</t>
  </si>
  <si>
    <t>8805.86645</t>
  </si>
  <si>
    <t>8792.893950000001</t>
  </si>
  <si>
    <t>8779.286100000001</t>
  </si>
  <si>
    <t>8766.400650000001</t>
  </si>
  <si>
    <t>8756.628400000001</t>
  </si>
  <si>
    <t>8750.095200000003</t>
  </si>
  <si>
    <t>8742.380850000001</t>
  </si>
  <si>
    <t>8734.495100000002</t>
  </si>
  <si>
    <t>8728.063550000003</t>
  </si>
  <si>
    <t>8720.094100000002</t>
  </si>
  <si>
    <t>8711.852550000003</t>
  </si>
  <si>
    <t>8704.68265</t>
  </si>
  <si>
    <t>8693.62155</t>
  </si>
  <si>
    <t>8682.2932</t>
  </si>
  <si>
    <t>8671.06315</t>
  </si>
  <si>
    <t>8651.300949999999</t>
  </si>
  <si>
    <t>8626.44945</t>
  </si>
  <si>
    <t>8602.651550000002</t>
  </si>
  <si>
    <t>8578.479400000002</t>
  </si>
  <si>
    <t>8555.91465</t>
  </si>
  <si>
    <t>8534.184500000001</t>
  </si>
  <si>
    <t>8512.205900000003</t>
  </si>
  <si>
    <t>8492.68215</t>
  </si>
  <si>
    <t>8474.81035</t>
  </si>
  <si>
    <t>8453.568650000003</t>
  </si>
  <si>
    <t>8431.492750000001</t>
  </si>
  <si>
    <t>8409.267950000003</t>
  </si>
  <si>
    <t>8388.879150000002</t>
  </si>
  <si>
    <t>8370.056200000003</t>
  </si>
  <si>
    <t>8351.075150000002</t>
  </si>
  <si>
    <t>8332.776200000002</t>
  </si>
  <si>
    <t>8312.607400000003</t>
  </si>
  <si>
    <t>8292.904300000002</t>
  </si>
  <si>
    <t>8273.334350000003</t>
  </si>
  <si>
    <t>8253.960150000003</t>
  </si>
  <si>
    <t>8233.896350000003</t>
  </si>
  <si>
    <t>8215.490150000003</t>
  </si>
  <si>
    <t>8197.732750000003</t>
  </si>
  <si>
    <t>8180.234600000004</t>
  </si>
  <si>
    <t>8163.064100000005</t>
  </si>
  <si>
    <t>8149.041000000005</t>
  </si>
  <si>
    <t>8134.711150000004</t>
  </si>
  <si>
    <t>8120.868850000003</t>
  </si>
  <si>
    <t>8107.205500000002</t>
  </si>
  <si>
    <t>8092.054650000001</t>
  </si>
  <si>
    <t>8077.678750000001</t>
  </si>
  <si>
    <t>8069.84275</t>
  </si>
  <si>
    <t>8061.36495</t>
  </si>
  <si>
    <t>8055.35365</t>
  </si>
  <si>
    <t>8048.2516000000005</t>
  </si>
  <si>
    <t>8042.599100000001</t>
  </si>
  <si>
    <t>8037.6174</t>
  </si>
  <si>
    <t>8031.48335</t>
  </si>
  <si>
    <t>8026.169249999999</t>
  </si>
  <si>
    <t>8020.285750000001</t>
  </si>
  <si>
    <t>8013.784299999999</t>
  </si>
  <si>
    <t>8008.0581999999995</t>
  </si>
  <si>
    <t>8003.594599999999</t>
  </si>
  <si>
    <t>8001.0623</t>
  </si>
  <si>
    <t>7997.77405</t>
  </si>
  <si>
    <t>7994.618</t>
  </si>
  <si>
    <t>7990.4479</t>
  </si>
  <si>
    <t>7987.385700000001</t>
  </si>
  <si>
    <t>7986.21145</t>
  </si>
  <si>
    <t>7988.732899999999</t>
  </si>
  <si>
    <t>7991.0024</t>
  </si>
  <si>
    <t>7993.868849999999</t>
  </si>
  <si>
    <t>7998.643549999999</t>
  </si>
  <si>
    <t>8002.057299999999</t>
  </si>
  <si>
    <t>8006.81585</t>
  </si>
  <si>
    <t>8013.046199999999</t>
  </si>
  <si>
    <t>8019.564499999999</t>
  </si>
  <si>
    <t>8027.965449999997</t>
  </si>
  <si>
    <t>8035.381299999996</t>
  </si>
  <si>
    <t>8038.954449999997</t>
  </si>
  <si>
    <t>8044.952149999997</t>
  </si>
  <si>
    <t>8050.587099999996</t>
  </si>
  <si>
    <t>8049.297849999997</t>
  </si>
  <si>
    <t>8050.504499999996</t>
  </si>
  <si>
    <t>8050.996049999996</t>
  </si>
  <si>
    <t>8050.963549999997</t>
  </si>
  <si>
    <t>8052.658499999996</t>
  </si>
  <si>
    <t>8055.292499999997</t>
  </si>
  <si>
    <t>8057.836999999997</t>
  </si>
  <si>
    <t>8060.036049999996</t>
  </si>
  <si>
    <t>8060.592399999998</t>
  </si>
  <si>
    <t>8060.214999999999</t>
  </si>
  <si>
    <t>8059.444349999998</t>
  </si>
  <si>
    <t>8058.519699999997</t>
  </si>
  <si>
    <t>8056.265299999998</t>
  </si>
  <si>
    <t>8055.330699999997</t>
  </si>
  <si>
    <t>8056.714949999997</t>
  </si>
  <si>
    <t>8058.964499999997</t>
  </si>
  <si>
    <t>8062.281699999997</t>
  </si>
  <si>
    <t>8066.085099999997</t>
  </si>
  <si>
    <t>8069.880949999996</t>
  </si>
  <si>
    <t>8074.069149999996</t>
  </si>
  <si>
    <t>8081.458199999996</t>
  </si>
  <si>
    <t>8086.684949999996</t>
  </si>
  <si>
    <t>8092.108249999996</t>
  </si>
  <si>
    <t>8098.133899999997</t>
  </si>
  <si>
    <t>8105.3030999999955</t>
  </si>
  <si>
    <t>8113.055799999996</t>
  </si>
  <si>
    <t>8121.925599999996</t>
  </si>
  <si>
    <t>8133.716699999995</t>
  </si>
  <si>
    <t>8146.244199999995</t>
  </si>
  <si>
    <t>8158.9437999999955</t>
  </si>
  <si>
    <t>8170.750649999996</t>
  </si>
  <si>
    <t>8182.023249999996</t>
  </si>
  <si>
    <t>8192.864699999998</t>
  </si>
  <si>
    <t>8201.903399999996</t>
  </si>
  <si>
    <t>8211.521099999998</t>
  </si>
  <si>
    <t>8220.2853</t>
  </si>
  <si>
    <t>8230.5893</t>
  </si>
  <si>
    <t>8240.7932</t>
  </si>
  <si>
    <t>8250.63275</t>
  </si>
  <si>
    <t>8261.1242</t>
  </si>
  <si>
    <t>8271.559899999998</t>
  </si>
  <si>
    <t>8282.487549999998</t>
  </si>
  <si>
    <t>8291.745899999998</t>
  </si>
  <si>
    <t>8300.28315</t>
  </si>
  <si>
    <t>8308.794899999999</t>
  </si>
  <si>
    <t>8317.821549999999</t>
  </si>
  <si>
    <t>8326.85225</t>
  </si>
  <si>
    <t>8336.3985</t>
  </si>
  <si>
    <t>8345.844</t>
  </si>
  <si>
    <t>8355.61645</t>
  </si>
  <si>
    <t>8366.0605</t>
  </si>
  <si>
    <t>8376.05505</t>
  </si>
  <si>
    <t>8386.83585</t>
  </si>
  <si>
    <t>8398.617999999999</t>
  </si>
  <si>
    <t>8408.719149999999</t>
  </si>
  <si>
    <t>8419.057599999998</t>
  </si>
  <si>
    <t>8429.6001</t>
  </si>
  <si>
    <t>8440.4165</t>
  </si>
  <si>
    <t>8448.6711</t>
  </si>
  <si>
    <t>8458.1234</t>
  </si>
  <si>
    <t>8468.04545</t>
  </si>
  <si>
    <t>8478.022449999999</t>
  </si>
  <si>
    <t>8487.88315</t>
  </si>
  <si>
    <t>8497.27</t>
  </si>
  <si>
    <t>8505.7967</t>
  </si>
  <si>
    <t>8514.6317</t>
  </si>
  <si>
    <t>8524.0598</t>
  </si>
  <si>
    <t>8533.6648</t>
  </si>
  <si>
    <t>8543.773200000003</t>
  </si>
  <si>
    <t>8553.894100000003</t>
  </si>
  <si>
    <t>8563.878200000003</t>
  </si>
  <si>
    <t>8573.977950000004</t>
  </si>
  <si>
    <t>8583.779800000004</t>
  </si>
  <si>
    <t>8592.132500000003</t>
  </si>
  <si>
    <t>8599.910350000002</t>
  </si>
  <si>
    <t>8611.581000000004</t>
  </si>
  <si>
    <t>8626.994600000004</t>
  </si>
  <si>
    <t>8641.854100000004</t>
  </si>
  <si>
    <t>8656.163450000004</t>
  </si>
  <si>
    <t>8671.321600000005</t>
  </si>
  <si>
    <t>8686.707350000004</t>
  </si>
  <si>
    <t>8698.980800000003</t>
  </si>
  <si>
    <t>8711.497650000005</t>
  </si>
  <si>
    <t>8723.377100000005</t>
  </si>
  <si>
    <t>8735.981100000005</t>
  </si>
  <si>
    <t>8751.083400000005</t>
  </si>
  <si>
    <t>8766.522750000006</t>
  </si>
  <si>
    <t>8781.694050000006</t>
  </si>
  <si>
    <t>8796.730850000007</t>
  </si>
  <si>
    <t>8814.031450000006</t>
  </si>
  <si>
    <t>8830.638450000006</t>
  </si>
  <si>
    <t>8846.424900000005</t>
  </si>
  <si>
    <t>8861.911550000006</t>
  </si>
  <si>
    <t>8877.150850000005</t>
  </si>
  <si>
    <t>8891.245000000006</t>
  </si>
  <si>
    <t>8903.851750000005</t>
  </si>
  <si>
    <t>8916.595300000004</t>
  </si>
  <si>
    <t>8931.048050000007</t>
  </si>
  <si>
    <t>8943.163350000004</t>
  </si>
  <si>
    <t>8955.216750000003</t>
  </si>
  <si>
    <t>8967.363250000002</t>
  </si>
  <si>
    <t>8979.355700000004</t>
  </si>
  <si>
    <t>8990.435050000006</t>
  </si>
  <si>
    <t>9001.064600000005</t>
  </si>
  <si>
    <t>9010.098050000002</t>
  </si>
  <si>
    <t>9018.138600000004</t>
  </si>
  <si>
    <t>9024.691550000003</t>
  </si>
  <si>
    <t>9032.771400000003</t>
  </si>
  <si>
    <t>9041.165850000001</t>
  </si>
  <si>
    <t>9047.71915</t>
  </si>
  <si>
    <t>9055.095700000002</t>
  </si>
  <si>
    <t>9063.462850000004</t>
  </si>
  <si>
    <t>9069.553700000002</t>
  </si>
  <si>
    <t>9076.245550000003</t>
  </si>
  <si>
    <t>9080.055150000002</t>
  </si>
  <si>
    <t>9082.753600000002</t>
  </si>
  <si>
    <t>9083.315300000002</t>
  </si>
  <si>
    <t>9086.222400000002</t>
  </si>
  <si>
    <t>9088.533850000002</t>
  </si>
  <si>
    <t>9091.45525</t>
  </si>
  <si>
    <t>9093.924200000001</t>
  </si>
  <si>
    <t>9096.77195</t>
  </si>
  <si>
    <t>9100.8654</t>
  </si>
  <si>
    <t>9106.93505</t>
  </si>
  <si>
    <t>9115.713850000002</t>
  </si>
  <si>
    <t>9126.30745</t>
  </si>
  <si>
    <t>9137.421950000002</t>
  </si>
  <si>
    <t>9149.014350000001</t>
  </si>
  <si>
    <t>9159.912650000002</t>
  </si>
  <si>
    <t>9171.217100000002</t>
  </si>
  <si>
    <t>9182.141900000002</t>
  </si>
  <si>
    <t>9189.879550000001</t>
  </si>
  <si>
    <t>9197.52945</t>
  </si>
  <si>
    <t>9205.155200000001</t>
  </si>
  <si>
    <t>9214.628150000002</t>
  </si>
  <si>
    <t>9228.411250000003</t>
  </si>
  <si>
    <t>9241.899900000002</t>
  </si>
  <si>
    <t>9255.779550000001</t>
  </si>
  <si>
    <t>9279.717050000001</t>
  </si>
  <si>
    <t>9307.555850000002</t>
  </si>
  <si>
    <t>9334.195600000001</t>
  </si>
  <si>
    <t>9361.730450000001</t>
  </si>
  <si>
    <t>9389.372400000002</t>
  </si>
  <si>
    <t>9415.93185</t>
  </si>
  <si>
    <t>9442.688850000002</t>
  </si>
  <si>
    <t>9466.954250000003</t>
  </si>
  <si>
    <t>9488.478950000002</t>
  </si>
  <si>
    <t>9510.699950000004</t>
  </si>
  <si>
    <t>9534.379500000003</t>
  </si>
  <si>
    <t>9559.009500000004</t>
  </si>
  <si>
    <t>9582.603100000002</t>
  </si>
  <si>
    <t>9606.127100000003</t>
  </si>
  <si>
    <t>9629.826100000004</t>
  </si>
  <si>
    <t>9653.744350000004</t>
  </si>
  <si>
    <t>9679.550800000003</t>
  </si>
  <si>
    <t>9705.773600000004</t>
  </si>
  <si>
    <t>9730.870950000004</t>
  </si>
  <si>
    <t>9755.316100000004</t>
  </si>
  <si>
    <t>9780.795050000004</t>
  </si>
  <si>
    <t>9805.038300000004</t>
  </si>
  <si>
    <t>9830.255350000003</t>
  </si>
  <si>
    <t>9858.212050000004</t>
  </si>
  <si>
    <t>9888.889400000004</t>
  </si>
  <si>
    <t>9918.016650000003</t>
  </si>
  <si>
    <t>9946.331950000003</t>
  </si>
  <si>
    <t>9974.958650000004</t>
  </si>
  <si>
    <t>10003.846950000005</t>
  </si>
  <si>
    <t>10036.126350000006</t>
  </si>
  <si>
    <t>10068.520100000005</t>
  </si>
  <si>
    <t>10100.404700000008</t>
  </si>
  <si>
    <t>10134.044900000008</t>
  </si>
  <si>
    <t>10168.430700000008</t>
  </si>
  <si>
    <t>10203.221250000008</t>
  </si>
  <si>
    <t>10235.776200000008</t>
  </si>
  <si>
    <t>10268.069100000004</t>
  </si>
  <si>
    <t>10301.482350000004</t>
  </si>
  <si>
    <t>10339.196000000004</t>
  </si>
  <si>
    <t>10381.381350000003</t>
  </si>
  <si>
    <t>10424.303950000005</t>
  </si>
  <si>
    <t>10465.239900000004</t>
  </si>
  <si>
    <t>10506.389500000005</t>
  </si>
  <si>
    <t>10545.202800000005</t>
  </si>
  <si>
    <t>10585.313450000007</t>
  </si>
  <si>
    <t>10626.722050000006</t>
  </si>
  <si>
    <t>10669.354200000003</t>
  </si>
  <si>
    <t>10710.387700000005</t>
  </si>
  <si>
    <t>10749.696300000005</t>
  </si>
  <si>
    <t>10786.983400000003</t>
  </si>
  <si>
    <t>10827.795650000004</t>
  </si>
  <si>
    <t>10872.301650000003</t>
  </si>
  <si>
    <t>10916.689800000002</t>
  </si>
  <si>
    <t>10964.1104</t>
  </si>
  <si>
    <t>11012.775450000001</t>
  </si>
  <si>
    <t>11058.72325</t>
  </si>
  <si>
    <t>11104.1935</t>
  </si>
  <si>
    <t>11149.356099999999</t>
  </si>
  <si>
    <t>11195.722749999997</t>
  </si>
  <si>
    <t>11238.085799999995</t>
  </si>
  <si>
    <t>11279.69305</t>
  </si>
  <si>
    <t>11321.742499999998</t>
  </si>
  <si>
    <t>11367.3517</t>
  </si>
  <si>
    <t>11412.33195</t>
  </si>
  <si>
    <t>11461.3975</t>
  </si>
  <si>
    <t>11509.308450000002</t>
  </si>
  <si>
    <t>11558.261500000004</t>
  </si>
  <si>
    <t>11604.881900000004</t>
  </si>
  <si>
    <t>11651.634350000006</t>
  </si>
  <si>
    <t>11698.737100000002</t>
  </si>
  <si>
    <t>11748.096900000002</t>
  </si>
  <si>
    <t>11796.699550000001</t>
  </si>
  <si>
    <t>11842.088600000003</t>
  </si>
  <si>
    <t>11887.900800000003</t>
  </si>
  <si>
    <t>11933.699050000001</t>
  </si>
  <si>
    <t>11981.39115</t>
  </si>
  <si>
    <t>12031.650549999998</t>
  </si>
  <si>
    <t>12080.748399999999</t>
  </si>
  <si>
    <t>12130.320949999998</t>
  </si>
  <si>
    <t>12181.315700000001</t>
  </si>
  <si>
    <t>12247.262450000002</t>
  </si>
  <si>
    <t>12313.91345</t>
  </si>
  <si>
    <t>12379.0214</t>
  </si>
  <si>
    <t>12448.829199999996</t>
  </si>
  <si>
    <t>12516.084299999995</t>
  </si>
  <si>
    <t>12583.082699999995</t>
  </si>
  <si>
    <t>12652.665299999995</t>
  </si>
  <si>
    <t>12720.553749999994</t>
  </si>
  <si>
    <t>12792.316049999992</t>
  </si>
  <si>
    <t>12868.229199999992</t>
  </si>
  <si>
    <t>12953.94989999999</t>
  </si>
  <si>
    <t>13039.987649999992</t>
  </si>
  <si>
    <t>13126.16404999999</t>
  </si>
  <si>
    <t>13219.108449999992</t>
  </si>
  <si>
    <t>13316.610849999992</t>
  </si>
  <si>
    <t>13416.136049999994</t>
  </si>
  <si>
    <t>13517.785399999995</t>
  </si>
  <si>
    <t>13637.589599999996</t>
  </si>
  <si>
    <t>13748.725249999994</t>
  </si>
  <si>
    <t>13862.485999999997</t>
  </si>
  <si>
    <t>13990.853749999998</t>
  </si>
  <si>
    <t>14134.432449999997</t>
  </si>
  <si>
    <t>14286.353899999996</t>
  </si>
  <si>
    <t>14441.174499999997</t>
  </si>
  <si>
    <t>14593.322399999997</t>
  </si>
  <si>
    <t>14718.987</t>
  </si>
  <si>
    <t>14847.52935</t>
  </si>
  <si>
    <t>14975.06935</t>
  </si>
  <si>
    <t>15121.92005</t>
  </si>
  <si>
    <t>15265.840950000002</t>
  </si>
  <si>
    <t>15404.35605</t>
  </si>
  <si>
    <t>15537.28425</t>
  </si>
  <si>
    <t>15671.6481</t>
  </si>
  <si>
    <t>15810.3474</t>
  </si>
  <si>
    <t>15940.219050000003</t>
  </si>
  <si>
    <t>16057.547000000002</t>
  </si>
  <si>
    <t>16170.896900000002</t>
  </si>
  <si>
    <t>16286.1789</t>
  </si>
  <si>
    <t>16400.788150000004</t>
  </si>
  <si>
    <t>16520.639450000002</t>
  </si>
  <si>
    <t>16634.671150000002</t>
  </si>
  <si>
    <t>16744.944050000002</t>
  </si>
  <si>
    <t>16857.104850000003</t>
  </si>
  <si>
    <t>16984.304700000004</t>
  </si>
  <si>
    <t>17108.92520000001</t>
  </si>
  <si>
    <t>17230.709550000007</t>
  </si>
  <si>
    <t>17353.44710000001</t>
  </si>
  <si>
    <t>17481.853950000008</t>
  </si>
  <si>
    <t>17618.740750000008</t>
  </si>
  <si>
    <t>17760.39725000001</t>
  </si>
  <si>
    <t>17902.506050000007</t>
  </si>
  <si>
    <t>18054.894950000005</t>
  </si>
  <si>
    <t>18201.213650000005</t>
  </si>
  <si>
    <t>18350.437500000007</t>
  </si>
  <si>
    <t>18535.38850000001</t>
  </si>
  <si>
    <t>18717.24135000001</t>
  </si>
  <si>
    <t>18898.75070000001</t>
  </si>
  <si>
    <t>19085.39865000001</t>
  </si>
  <si>
    <t>19266.312350000007</t>
  </si>
  <si>
    <t>19454.697600000007</t>
  </si>
  <si>
    <t>19639.38675000001</t>
  </si>
  <si>
    <t>19828.58430000001</t>
  </si>
  <si>
    <t>20026.196750000006</t>
  </si>
  <si>
    <t>20229.491800000007</t>
  </si>
  <si>
    <t>20437.310700000005</t>
  </si>
  <si>
    <t>20661.850100000003</t>
  </si>
  <si>
    <t>20890.938300000005</t>
  </si>
  <si>
    <t>21106.264600000006</t>
  </si>
  <si>
    <t>21288.953350000003</t>
  </si>
  <si>
    <t>21480.115200000004</t>
  </si>
  <si>
    <t>21673.42970000001</t>
  </si>
  <si>
    <t>21846.933050000007</t>
  </si>
  <si>
    <t>22024.372650000005</t>
  </si>
  <si>
    <t>22191.577400000013</t>
  </si>
  <si>
    <t>22373.806400000012</t>
  </si>
  <si>
    <t>22558.72630000001</t>
  </si>
  <si>
    <t>22753.645400000005</t>
  </si>
  <si>
    <t>22941.436850000006</t>
  </si>
  <si>
    <t>23119.24400000001</t>
  </si>
  <si>
    <t>23300.440100000007</t>
  </si>
  <si>
    <t>23492.914900000007</t>
  </si>
  <si>
    <t>23687.84205000001</t>
  </si>
  <si>
    <t>23899.280750000013</t>
  </si>
  <si>
    <t>24119.024800000014</t>
  </si>
  <si>
    <t>24342.094550000016</t>
  </si>
  <si>
    <t>24567.446700000008</t>
  </si>
  <si>
    <t>24807.367550000014</t>
  </si>
  <si>
    <t>25051.949650000013</t>
  </si>
  <si>
    <t>25278.46100000001</t>
  </si>
  <si>
    <t>25499.238150000012</t>
  </si>
  <si>
    <t>25721.327300000008</t>
  </si>
  <si>
    <t>25955.581050000004</t>
  </si>
  <si>
    <t>26189.93480000001</t>
  </si>
  <si>
    <t>26425.191150000006</t>
  </si>
  <si>
    <t>26654.966700000004</t>
  </si>
  <si>
    <t>26885.012950000008</t>
  </si>
  <si>
    <t>27107.366900000008</t>
  </si>
  <si>
    <t>27332.94095000001</t>
  </si>
  <si>
    <t>27543.98290000001</t>
  </si>
  <si>
    <t>27760.704200000007</t>
  </si>
  <si>
    <t>27985.700750000007</t>
  </si>
  <si>
    <t>28215.111300000008</t>
  </si>
  <si>
    <t>28451.415500000006</t>
  </si>
  <si>
    <t>28694.220750000008</t>
  </si>
  <si>
    <t>28937.14370000001</t>
  </si>
  <si>
    <t>29180.79555000001</t>
  </si>
  <si>
    <t>29426.618850000013</t>
  </si>
  <si>
    <t>29670.84815000001</t>
  </si>
  <si>
    <t>29908.079300000012</t>
  </si>
  <si>
    <t>30146.803500000005</t>
  </si>
  <si>
    <t>30385.40515000001</t>
  </si>
  <si>
    <t>30614.27060000001</t>
  </si>
  <si>
    <t>30845.68365000001</t>
  </si>
  <si>
    <t>31084.049100000015</t>
  </si>
  <si>
    <t>31332.118950000015</t>
  </si>
  <si>
    <t>31578.18595000001</t>
  </si>
  <si>
    <t>31825.50175000001</t>
  </si>
  <si>
    <t>32086.46350000001</t>
  </si>
  <si>
    <t>32350.55045000001</t>
  </si>
  <si>
    <t>32612.17970000001</t>
  </si>
  <si>
    <t>32866.203850000005</t>
  </si>
  <si>
    <t>33118.53335000001</t>
  </si>
  <si>
    <t>33344.01655000001</t>
  </si>
  <si>
    <t>33572.60260000001</t>
  </si>
  <si>
    <t>33798.21000000001</t>
  </si>
  <si>
    <t>34022.99200000001</t>
  </si>
  <si>
    <t>34241.13105000001</t>
  </si>
  <si>
    <t>34437.66730000001</t>
  </si>
  <si>
    <t>34635.04590000001</t>
  </si>
  <si>
    <t>34830.815100000014</t>
  </si>
  <si>
    <t>35043.01085000001</t>
  </si>
  <si>
    <t>35261.54945000001</t>
  </si>
  <si>
    <t>35478.77720000001</t>
  </si>
  <si>
    <t>35691.81990000001</t>
  </si>
  <si>
    <t>35908.09305000001</t>
  </si>
  <si>
    <t>36139.689300000005</t>
  </si>
  <si>
    <t>36366.834650000004</t>
  </si>
  <si>
    <t>36599.5273</t>
  </si>
  <si>
    <t>36821.33385</t>
  </si>
  <si>
    <t>37042.6915</t>
  </si>
  <si>
    <t>37270.34115</t>
  </si>
  <si>
    <t>37496.82295</t>
  </si>
  <si>
    <t>37730.8033</t>
  </si>
  <si>
    <t>37959.29505</t>
  </si>
  <si>
    <t>38184.63995</t>
  </si>
  <si>
    <t>38399.20435</t>
  </si>
  <si>
    <t>38616.72735</t>
  </si>
  <si>
    <t>38801.05235</t>
  </si>
  <si>
    <t>38986.55685</t>
  </si>
  <si>
    <t>39164.06095</t>
  </si>
  <si>
    <t>39338.11355</t>
  </si>
  <si>
    <t>39493.67155</t>
  </si>
  <si>
    <t>39648.6882</t>
  </si>
  <si>
    <t>39776.82965</t>
  </si>
  <si>
    <t>39907.9543</t>
  </si>
  <si>
    <t>40040.0969</t>
  </si>
  <si>
    <t>40161.171200000004</t>
  </si>
  <si>
    <t>40266.1443</t>
  </si>
  <si>
    <t>40379.128000000004</t>
  </si>
  <si>
    <t>40491.84835</t>
  </si>
  <si>
    <t>40610.72440000001</t>
  </si>
  <si>
    <t>40729.04060000001</t>
  </si>
  <si>
    <t>40835.72225</t>
  </si>
  <si>
    <t>40934.78235</t>
  </si>
  <si>
    <t>41035.31115</t>
  </si>
  <si>
    <t>41139.5506</t>
  </si>
  <si>
    <t>41240.91595</t>
  </si>
  <si>
    <t>41347.88865</t>
  </si>
  <si>
    <t>41461.6688</t>
  </si>
  <si>
    <t>41565.01915</t>
  </si>
  <si>
    <t>41661.5214</t>
  </si>
  <si>
    <t>41752.54065</t>
  </si>
  <si>
    <t>41844.0213</t>
  </si>
  <si>
    <t>41917.27160000001</t>
  </si>
  <si>
    <t>41998.60115000001</t>
  </si>
  <si>
    <t>42090.98145000001</t>
  </si>
  <si>
    <t>42184.45265000001</t>
  </si>
  <si>
    <t>42268.016550000015</t>
  </si>
  <si>
    <t>42352.5198</t>
  </si>
  <si>
    <t>42464.5673</t>
  </si>
  <si>
    <t>42580.648600000015</t>
  </si>
  <si>
    <t>42690.92085000002</t>
  </si>
  <si>
    <t>42794.32265000002</t>
  </si>
  <si>
    <t>42888.461550000015</t>
  </si>
  <si>
    <t>42970.85025000001</t>
  </si>
  <si>
    <t>43052.96170000001</t>
  </si>
  <si>
    <t>43120.08290000001</t>
  </si>
  <si>
    <t>43187.43790000001</t>
  </si>
  <si>
    <t>43261.587750000006</t>
  </si>
  <si>
    <t>43335.18240000001</t>
  </si>
  <si>
    <t>43406.041050000014</t>
  </si>
  <si>
    <t>43469.35530000001</t>
  </si>
  <si>
    <t>43543.29525000001</t>
  </si>
  <si>
    <t>43623.889</t>
  </si>
  <si>
    <t>43712.99800000001</t>
  </si>
  <si>
    <t>43795.059300000015</t>
  </si>
  <si>
    <t>43866.87210000001</t>
  </si>
  <si>
    <t>43937.82265000002</t>
  </si>
  <si>
    <t>44013.90785000002</t>
  </si>
  <si>
    <t>44092.350700000025</t>
  </si>
  <si>
    <t>44149.29485000002</t>
  </si>
  <si>
    <t>44205.17985000002</t>
  </si>
  <si>
    <t>44262.632700000024</t>
  </si>
  <si>
    <t>44309.21945000002</t>
  </si>
  <si>
    <t>44358.855550000015</t>
  </si>
  <si>
    <t>44411.77720000002</t>
  </si>
  <si>
    <t>44463.09090000002</t>
  </si>
  <si>
    <t>44514.86510000001</t>
  </si>
  <si>
    <t>44558.7424</t>
  </si>
  <si>
    <t>44597.147150000004</t>
  </si>
  <si>
    <t>44621.93785</t>
  </si>
  <si>
    <t>44645.9937</t>
  </si>
  <si>
    <t>44670.58695</t>
  </si>
  <si>
    <t>44689.000949999994</t>
  </si>
  <si>
    <t>44700.60054999999</t>
  </si>
  <si>
    <t>44702.89669999998</t>
  </si>
  <si>
    <t>44711.06754999998</t>
  </si>
  <si>
    <t>44704.69194999998</t>
  </si>
  <si>
    <t>44708.70439999997</t>
  </si>
  <si>
    <t>44717.45404999997</t>
  </si>
  <si>
    <t>44714.45994999998</t>
  </si>
  <si>
    <t>44715.877149999986</t>
  </si>
  <si>
    <t>44705.549299999984</t>
  </si>
  <si>
    <t>44701.83964999999</t>
  </si>
  <si>
    <t>44701.73974999999</t>
  </si>
  <si>
    <t>44728.25319999999</t>
  </si>
  <si>
    <t>44761.88999999999</t>
  </si>
  <si>
    <t>44796.27504999999</t>
  </si>
  <si>
    <t>44802.306049999985</t>
  </si>
  <si>
    <t>44804.89919999999</t>
  </si>
  <si>
    <t>44813.09289999999</t>
  </si>
  <si>
    <t>44831.0726</t>
  </si>
  <si>
    <t>44855.04334999999</t>
  </si>
  <si>
    <t>44888.52579999999</t>
  </si>
  <si>
    <t>44934.83049999999</t>
  </si>
  <si>
    <t>45000.10519999998</t>
  </si>
  <si>
    <t>45068.68549999999</t>
  </si>
  <si>
    <t>45137.79569999997</t>
  </si>
  <si>
    <t>45200.93364999998</t>
  </si>
  <si>
    <t>45265.97584999997</t>
  </si>
  <si>
    <t>45341.013999999974</t>
  </si>
  <si>
    <t>45416.30209999998</t>
  </si>
  <si>
    <t>45493.81299999999</t>
  </si>
  <si>
    <t>45550.433499999985</t>
  </si>
  <si>
    <t>45605.20834999999</t>
  </si>
  <si>
    <t>45662.27779999998</t>
  </si>
  <si>
    <t>45730.107699999986</t>
  </si>
  <si>
    <t>45800.82664999999</t>
  </si>
  <si>
    <t>45862.89169999999</t>
  </si>
  <si>
    <t>45925.422349999986</t>
  </si>
  <si>
    <t>45983.33794999999</t>
  </si>
  <si>
    <t>46025.41464999999</t>
  </si>
  <si>
    <t>46067.48864999999</t>
  </si>
  <si>
    <t>46108.21309999999</t>
  </si>
  <si>
    <t>46120.2852</t>
  </si>
  <si>
    <t>46133.413049999996</t>
  </si>
  <si>
    <t>46142.672049999994</t>
  </si>
  <si>
    <t>46141.26464999999</t>
  </si>
  <si>
    <t>46143.43415</t>
  </si>
  <si>
    <t>46148.03615</t>
  </si>
  <si>
    <t>46158.4709</t>
  </si>
  <si>
    <t>46163.91305</t>
  </si>
  <si>
    <t>46159.117150000005</t>
  </si>
  <si>
    <t>46158.42340000001</t>
  </si>
  <si>
    <t>46149.69470000001</t>
  </si>
  <si>
    <t>46100.3558</t>
  </si>
  <si>
    <t>46045.818649999994</t>
  </si>
  <si>
    <t>46002.3192</t>
  </si>
  <si>
    <t>45987.86749999999</t>
  </si>
  <si>
    <t>45967.67959999999</t>
  </si>
  <si>
    <t>45939.65995</t>
  </si>
  <si>
    <t>45936.96115</t>
  </si>
  <si>
    <t>45938.9076</t>
  </si>
  <si>
    <t>45953.93805</t>
  </si>
  <si>
    <t>45951.6956</t>
  </si>
  <si>
    <t>45949.683999999994</t>
  </si>
  <si>
    <t>45933.97559999998</t>
  </si>
  <si>
    <t>45907.26734999999</t>
  </si>
  <si>
    <t>45883.38939999998</t>
  </si>
  <si>
    <t>45852.72419999997</t>
  </si>
  <si>
    <t>45821.61399999999</t>
  </si>
  <si>
    <t>45782.047649999986</t>
  </si>
  <si>
    <t>45724.99029999998</t>
  </si>
  <si>
    <t>45663.25879999998</t>
  </si>
  <si>
    <t>45600.107999999986</t>
  </si>
  <si>
    <t>45525.214449999985</t>
  </si>
  <si>
    <t>45437.59729999999</t>
  </si>
  <si>
    <t>45352.624849999986</t>
  </si>
  <si>
    <t>45305.07044999999</t>
  </si>
  <si>
    <t>45265.84084999999</t>
  </si>
  <si>
    <t>45225.99645</t>
  </si>
  <si>
    <t>45172.66425</t>
  </si>
  <si>
    <t>45129.53929999999</t>
  </si>
  <si>
    <t>45096.18179999999</t>
  </si>
  <si>
    <t>45080.48539999998</t>
  </si>
  <si>
    <t>45065.64504999997</t>
  </si>
  <si>
    <t>45065.29499999997</t>
  </si>
  <si>
    <t>45063.759099999974</t>
  </si>
  <si>
    <t>45085.371049999965</t>
  </si>
  <si>
    <t>45102.28919999997</t>
  </si>
  <si>
    <t>45107.773849999976</t>
  </si>
  <si>
    <t>45115.30039999998</t>
  </si>
  <si>
    <t>45125.47589999998</t>
  </si>
  <si>
    <t>45137.75429999998</t>
  </si>
  <si>
    <t>45147.616249999985</t>
  </si>
  <si>
    <t>45161.74164999998</t>
  </si>
  <si>
    <t>45175.40114999999</t>
  </si>
  <si>
    <t>45198.19754999999</t>
  </si>
  <si>
    <t>45229.73794999999</t>
  </si>
  <si>
    <t>45250.0569</t>
  </si>
  <si>
    <t>45262.26885</t>
  </si>
  <si>
    <t>45282.279449999995</t>
  </si>
  <si>
    <t>45309.7441</t>
  </si>
  <si>
    <t>45529.57254999998</t>
  </si>
  <si>
    <t>45384.755599999975</t>
  </si>
  <si>
    <t>45230.36929999998</t>
  </si>
  <si>
    <t>45074.39009999998</t>
  </si>
  <si>
    <t>44915.33839999998</t>
  </si>
  <si>
    <t>44757.65509999998</t>
  </si>
  <si>
    <t>44602.015249999975</t>
  </si>
  <si>
    <t>44433.23814999998</t>
  </si>
  <si>
    <t>44267.81844999998</t>
  </si>
  <si>
    <t>44109.729749999984</t>
  </si>
  <si>
    <t>43948.61134999999</t>
  </si>
  <si>
    <t>43792.07189999999</t>
  </si>
  <si>
    <t>43629.44579999998</t>
  </si>
  <si>
    <t>43444.38939999998</t>
  </si>
  <si>
    <t>43250.63555</t>
  </si>
  <si>
    <t>43062.31614999999</t>
  </si>
  <si>
    <t>42890.60209999999</t>
  </si>
  <si>
    <t>42728.65194999999</t>
  </si>
  <si>
    <t>42566.281849999985</t>
  </si>
  <si>
    <t>42393.96779999999</t>
  </si>
  <si>
    <t>42214.8108</t>
  </si>
  <si>
    <t>42060.19245</t>
  </si>
  <si>
    <t>41908.69729999999</t>
  </si>
  <si>
    <t>41769.00165</t>
  </si>
  <si>
    <t>41630.32015</t>
  </si>
  <si>
    <t>41489.3547</t>
  </si>
  <si>
    <t>41344.65305</t>
  </si>
  <si>
    <t>41206.925</t>
  </si>
  <si>
    <t>41065.783449999995</t>
  </si>
  <si>
    <t>40919.888600000006</t>
  </si>
  <si>
    <t>40747.5431</t>
  </si>
  <si>
    <t>40585.27125</t>
  </si>
  <si>
    <t>40417.8186</t>
  </si>
  <si>
    <t>40251.72575</t>
  </si>
  <si>
    <t>40067.88645</t>
  </si>
  <si>
    <t>39877.1336</t>
  </si>
  <si>
    <t>39688.2936</t>
  </si>
  <si>
    <t>39506.59165</t>
  </si>
  <si>
    <t>39328.7597</t>
  </si>
  <si>
    <t>39188.6722</t>
  </si>
  <si>
    <t>39044.969750000004</t>
  </si>
  <si>
    <t>38905.99635</t>
  </si>
  <si>
    <t>38757.152</t>
  </si>
  <si>
    <t>38611.724</t>
  </si>
  <si>
    <t>38470.88595</t>
  </si>
  <si>
    <t>38333.4001</t>
  </si>
  <si>
    <t>38191.4335</t>
  </si>
  <si>
    <t>38039.57575</t>
  </si>
  <si>
    <t>37893.1168</t>
  </si>
  <si>
    <t>37754.20895</t>
  </si>
  <si>
    <t>37608.97145</t>
  </si>
  <si>
    <t>37463.07444999999</t>
  </si>
  <si>
    <t>37328.76149999999</t>
  </si>
  <si>
    <t>37195.8685</t>
  </si>
  <si>
    <t>37062.60064999999</t>
  </si>
  <si>
    <t>36939.166399999995</t>
  </si>
  <si>
    <t>36804.12714999999</t>
  </si>
  <si>
    <t>36665.47999999999</t>
  </si>
  <si>
    <t>36525.10114999999</t>
  </si>
  <si>
    <t>36368.89475</t>
  </si>
  <si>
    <t>36212.472499999996</t>
  </si>
  <si>
    <t>36062.986899999996</t>
  </si>
  <si>
    <t>35912.26895</t>
  </si>
  <si>
    <t>35770.38144999999</t>
  </si>
  <si>
    <t>35638.04344999999</t>
  </si>
  <si>
    <t>35512.19344999999</t>
  </si>
  <si>
    <t>35387.06999999999</t>
  </si>
  <si>
    <t>35269.423</t>
  </si>
  <si>
    <t>35147.81825</t>
  </si>
  <si>
    <t>35028.691349999994</t>
  </si>
  <si>
    <t>34909.27784999999</t>
  </si>
  <si>
    <t>34791.06415</t>
  </si>
  <si>
    <t>34685.0632</t>
  </si>
  <si>
    <t>34580.85705</t>
  </si>
  <si>
    <t>34478.2377</t>
  </si>
  <si>
    <t>34384.618500000004</t>
  </si>
  <si>
    <t>34295.19895</t>
  </si>
  <si>
    <t>34203.965500000006</t>
  </si>
  <si>
    <t>34107.373600000006</t>
  </si>
  <si>
    <t>34005.46770000001</t>
  </si>
  <si>
    <t>33905.894250000005</t>
  </si>
  <si>
    <t>33807.0726</t>
  </si>
  <si>
    <t>33706.108349999995</t>
  </si>
  <si>
    <t>33608.399399999995</t>
  </si>
  <si>
    <t>33514.61124999999</t>
  </si>
  <si>
    <t>33420.39519999999</t>
  </si>
  <si>
    <t>33329.71039999999</t>
  </si>
  <si>
    <t>33252.11334999999</t>
  </si>
  <si>
    <t>33190.27644999998</t>
  </si>
  <si>
    <t>33135.27714999999</t>
  </si>
  <si>
    <t>33078.81439999999</t>
  </si>
  <si>
    <t>33018.96149999998</t>
  </si>
  <si>
    <t>32953.13379999998</t>
  </si>
  <si>
    <t>32891.82344999998</t>
  </si>
  <si>
    <t>32826.520049999985</t>
  </si>
  <si>
    <t>32756.35284999998</t>
  </si>
  <si>
    <t>32683.60829999998</t>
  </si>
  <si>
    <t>32605.02159999999</t>
  </si>
  <si>
    <t>32518.223299999987</t>
  </si>
  <si>
    <t>32433.196299999985</t>
  </si>
  <si>
    <t>32354.953899999982</t>
  </si>
  <si>
    <t>32272.318049999987</t>
  </si>
  <si>
    <t>32171.993849999984</t>
  </si>
  <si>
    <t>32072.041249999987</t>
  </si>
  <si>
    <t>31965.072049999988</t>
  </si>
  <si>
    <t>31846.32674999999</t>
  </si>
  <si>
    <t>31726.469849999983</t>
  </si>
  <si>
    <t>31604.878699999987</t>
  </si>
  <si>
    <t>31489.149999999987</t>
  </si>
  <si>
    <t>31378.61434999998</t>
  </si>
  <si>
    <t>31267.05149999998</t>
  </si>
  <si>
    <t>31156.62194999998</t>
  </si>
  <si>
    <t>31035.526599999983</t>
  </si>
  <si>
    <t>30914.25924999998</t>
  </si>
  <si>
    <t>30797.228099999982</t>
  </si>
  <si>
    <t>30694.054699999982</t>
  </si>
  <si>
    <t>30587.815199999975</t>
  </si>
  <si>
    <t>30492.124799999976</t>
  </si>
  <si>
    <t>30403.37219999998</t>
  </si>
  <si>
    <t>30322.147649999977</t>
  </si>
  <si>
    <t>30239.64814999998</t>
  </si>
  <si>
    <t>30172.145499999973</t>
  </si>
  <si>
    <t>30089.282849999978</t>
  </si>
  <si>
    <t>29994.61569999998</t>
  </si>
  <si>
    <t>29900.94659999998</t>
  </si>
  <si>
    <t>29807.88734999998</t>
  </si>
  <si>
    <t>29689.86339999998</t>
  </si>
  <si>
    <t>29569.21279999998</t>
  </si>
  <si>
    <t>29447.233549999975</t>
  </si>
  <si>
    <t>29336.50209999998</t>
  </si>
  <si>
    <t>29235.89134999998</t>
  </si>
  <si>
    <t>29135.85644999998</t>
  </si>
  <si>
    <t>29040.23384999999</t>
  </si>
  <si>
    <t>28942.27304999999</t>
  </si>
  <si>
    <t>28827.554049999984</t>
  </si>
  <si>
    <t>28726.503949999988</t>
  </si>
  <si>
    <t>28632.26369999999</t>
  </si>
  <si>
    <t>28532.22109999998</t>
  </si>
  <si>
    <t>28434.522799999988</t>
  </si>
  <si>
    <t>28337.94759999999</t>
  </si>
  <si>
    <t>28239.85064999999</t>
  </si>
  <si>
    <t>28134.168049999997</t>
  </si>
  <si>
    <t>28025.871349999994</t>
  </si>
  <si>
    <t>27922.164999999994</t>
  </si>
  <si>
    <t>27813.960099999993</t>
  </si>
  <si>
    <t>27706.34785</t>
  </si>
  <si>
    <t>27600.2508</t>
  </si>
  <si>
    <t>27484.91575</t>
  </si>
  <si>
    <t>27370.76295</t>
  </si>
  <si>
    <t>27251.909699999997</t>
  </si>
  <si>
    <t>27126.08755</t>
  </si>
  <si>
    <t>26999.6501</t>
  </si>
  <si>
    <t>26871.66229999999</t>
  </si>
  <si>
    <t>26733.575049999985</t>
  </si>
  <si>
    <t>26591.622799999983</t>
  </si>
  <si>
    <t>26451.06029999999</t>
  </si>
  <si>
    <t>26313.075499999988</t>
  </si>
  <si>
    <t>26183.482249999986</t>
  </si>
  <si>
    <t>26046.79639999998</t>
  </si>
  <si>
    <t>25910.694699999982</t>
  </si>
  <si>
    <t>25775.649299999983</t>
  </si>
  <si>
    <t>25638.554499999984</t>
  </si>
  <si>
    <t>25509.922899999983</t>
  </si>
  <si>
    <t>25389.343599999986</t>
  </si>
  <si>
    <t>25268.403499999993</t>
  </si>
  <si>
    <t>25159.114499999992</t>
  </si>
  <si>
    <t>25048.69569999999</t>
  </si>
  <si>
    <t>24944.23834999999</t>
  </si>
  <si>
    <t>24847.71819999999</t>
  </si>
  <si>
    <t>24750.499499999987</t>
  </si>
  <si>
    <t>24647.75994999999</t>
  </si>
  <si>
    <t>24549.205349999997</t>
  </si>
  <si>
    <t>24449.188349999997</t>
  </si>
  <si>
    <t>24348.672999999995</t>
  </si>
  <si>
    <t>24254.250899999988</t>
  </si>
  <si>
    <t>24156.175299999984</t>
  </si>
  <si>
    <t>24055.428399999986</t>
  </si>
  <si>
    <t>23950.97069999999</t>
  </si>
  <si>
    <t>23847.405349999986</t>
  </si>
  <si>
    <t>23737.680199999995</t>
  </si>
  <si>
    <t>23623.167049999996</t>
  </si>
  <si>
    <t>23513.557449999997</t>
  </si>
  <si>
    <t>23395.76749999999</t>
  </si>
  <si>
    <t>23284.16145</t>
  </si>
  <si>
    <t>23168.574149999997</t>
  </si>
  <si>
    <t>23057.610099999987</t>
  </si>
  <si>
    <t>22948.035249999994</t>
  </si>
  <si>
    <t>22840.960349999987</t>
  </si>
  <si>
    <t>22731.310949999985</t>
  </si>
  <si>
    <t>22622.397899999985</t>
  </si>
  <si>
    <t>22510.53644999998</t>
  </si>
  <si>
    <t>22393.434249999984</t>
  </si>
  <si>
    <t>22292.253949999988</t>
  </si>
  <si>
    <t>22195.013299999988</t>
  </si>
  <si>
    <t>22105.02299999999</t>
  </si>
  <si>
    <t>22022.49519999999</t>
  </si>
  <si>
    <t>21948.46639999999</t>
  </si>
  <si>
    <t>21876.54469999999</t>
  </si>
  <si>
    <t>21815.100749999994</t>
  </si>
  <si>
    <t>21746.002049999996</t>
  </si>
  <si>
    <t>21683.105999999996</t>
  </si>
  <si>
    <t>21618.89815</t>
  </si>
  <si>
    <t>21554.455249999995</t>
  </si>
  <si>
    <t>21487.548300000002</t>
  </si>
  <si>
    <t>21423.635549999995</t>
  </si>
  <si>
    <t>21362.292199999996</t>
  </si>
  <si>
    <t>21296.641949999997</t>
  </si>
  <si>
    <t>21234.204100000003</t>
  </si>
  <si>
    <t>21168.9422</t>
  </si>
  <si>
    <t>21103.9227</t>
  </si>
  <si>
    <t>21043.094149999997</t>
  </si>
  <si>
    <t>20980.220849999994</t>
  </si>
  <si>
    <t>20917.528899999998</t>
  </si>
  <si>
    <t>20860.0371</t>
  </si>
  <si>
    <t>20804.803900000003</t>
  </si>
  <si>
    <t>20747.5871</t>
  </si>
  <si>
    <t>20679.617100000003</t>
  </si>
  <si>
    <t>20604.762150000006</t>
  </si>
  <si>
    <t>20530.849700000006</t>
  </si>
  <si>
    <t>20464.506050000004</t>
  </si>
  <si>
    <t>20399.53065</t>
  </si>
  <si>
    <t>20335.21475</t>
  </si>
  <si>
    <t>20270.458450000002</t>
  </si>
  <si>
    <t>20197.89355</t>
  </si>
  <si>
    <t>20133.95245</t>
  </si>
  <si>
    <t>20066.1241</t>
  </si>
  <si>
    <t>19999.277350000004</t>
  </si>
  <si>
    <t>19934.391900000002</t>
  </si>
  <si>
    <t>19873.8976</t>
  </si>
  <si>
    <t>19819.33455</t>
  </si>
  <si>
    <t>19782.88555</t>
  </si>
  <si>
    <t>19754.541699999998</t>
  </si>
  <si>
    <t>19730.898449999997</t>
  </si>
  <si>
    <t>19708.518099999998</t>
  </si>
  <si>
    <t>19688.78255</t>
  </si>
  <si>
    <t>19677.121750000002</t>
  </si>
  <si>
    <t>19664.1982</t>
  </si>
  <si>
    <t>19646.412</t>
  </si>
  <si>
    <t>19626.259849999995</t>
  </si>
  <si>
    <t>19609.38875</t>
  </si>
  <si>
    <t>19593.0647</t>
  </si>
  <si>
    <t>19573.845899999997</t>
  </si>
  <si>
    <t>19554.741849999995</t>
  </si>
  <si>
    <t>19538.818849999996</t>
  </si>
  <si>
    <t>19528.051449999995</t>
  </si>
  <si>
    <t>19528.750149999996</t>
  </si>
  <si>
    <t>19532.08055</t>
  </si>
  <si>
    <t>19541.799749999995</t>
  </si>
  <si>
    <t>19550.429399999994</t>
  </si>
  <si>
    <t>19560.360549999994</t>
  </si>
  <si>
    <t>19568.747799999997</t>
  </si>
  <si>
    <t>19576.321249999994</t>
  </si>
  <si>
    <t>19589.806049999996</t>
  </si>
  <si>
    <t>19603.101749999994</t>
  </si>
  <si>
    <t>19614.703449999994</t>
  </si>
  <si>
    <t>19620.703649999996</t>
  </si>
  <si>
    <t>19625.879449999997</t>
  </si>
  <si>
    <t>19634.853749999995</t>
  </si>
  <si>
    <t>19647.299649999997</t>
  </si>
  <si>
    <t>19663.212399999993</t>
  </si>
  <si>
    <t>19682.216299999993</t>
  </si>
  <si>
    <t>19697.18639999999</t>
  </si>
  <si>
    <t>19707.650949999992</t>
  </si>
  <si>
    <t>19719.412499999995</t>
  </si>
  <si>
    <t>19732.308299999997</t>
  </si>
  <si>
    <t>19739.97655</t>
  </si>
  <si>
    <t>19745.938</t>
  </si>
  <si>
    <t>19744.6876</t>
  </si>
  <si>
    <t>19744.44935</t>
  </si>
  <si>
    <t>19743.603799999997</t>
  </si>
  <si>
    <t>19747.048300000002</t>
  </si>
  <si>
    <t>19746.862599999997</t>
  </si>
  <si>
    <t>19746.3105</t>
  </si>
  <si>
    <t>19749.3985</t>
  </si>
  <si>
    <t>19751.74575</t>
  </si>
  <si>
    <t>19744.396849999997</t>
  </si>
  <si>
    <t>19734.099799999996</t>
  </si>
  <si>
    <t>19727.96295</t>
  </si>
  <si>
    <t>19732.283900000002</t>
  </si>
  <si>
    <t>19735.002449999996</t>
  </si>
  <si>
    <t>19743.482749999996</t>
  </si>
  <si>
    <t>19750.32285</t>
  </si>
  <si>
    <t>19759.731599999996</t>
  </si>
  <si>
    <t>19767.520499999995</t>
  </si>
  <si>
    <t>19771.89965</t>
  </si>
  <si>
    <t>19776.9721</t>
  </si>
  <si>
    <t>19776.75685</t>
  </si>
  <si>
    <t>19775.500000000004</t>
  </si>
  <si>
    <t>19775.891050000002</t>
  </si>
  <si>
    <t>19771.152100000003</t>
  </si>
  <si>
    <t>19768.334100000004</t>
  </si>
  <si>
    <t>19764.38085</t>
  </si>
  <si>
    <t>19758.958250000003</t>
  </si>
  <si>
    <t>19750.107050000002</t>
  </si>
  <si>
    <t>19741.906850000007</t>
  </si>
  <si>
    <t>19735.410900000003</t>
  </si>
  <si>
    <t>19730.322150000004</t>
  </si>
  <si>
    <t>19734.537600000003</t>
  </si>
  <si>
    <t>19738.784250000004</t>
  </si>
  <si>
    <t>19740.087450000003</t>
  </si>
  <si>
    <t>19733.613100000006</t>
  </si>
  <si>
    <t>19728.595550000005</t>
  </si>
  <si>
    <t>19724.443350000005</t>
  </si>
  <si>
    <t>19729.030150000006</t>
  </si>
  <si>
    <t>19745.249500000005</t>
  </si>
  <si>
    <t>19767.992400000006</t>
  </si>
  <si>
    <t>19791.744800000008</t>
  </si>
  <si>
    <t>19824.508800000007</t>
  </si>
  <si>
    <t>19860.442250000007</t>
  </si>
  <si>
    <t>19895.54365000001</t>
  </si>
  <si>
    <t>19935.128300000008</t>
  </si>
  <si>
    <t>19974.59250000001</t>
  </si>
  <si>
    <t>20016.50845000001</t>
  </si>
  <si>
    <t>20055.96455000001</t>
  </si>
  <si>
    <t>20097.40030000001</t>
  </si>
  <si>
    <t>20135.91580000001</t>
  </si>
  <si>
    <t>20180.634250000014</t>
  </si>
  <si>
    <t>20223.238050000014</t>
  </si>
  <si>
    <t>20253.207800000015</t>
  </si>
  <si>
    <t>20288.23445000001</t>
  </si>
  <si>
    <t>20322.43550000001</t>
  </si>
  <si>
    <t>20352.510150000013</t>
  </si>
  <si>
    <t>20383.669350000015</t>
  </si>
  <si>
    <t>20424.096900000015</t>
  </si>
  <si>
    <t>20463.82050000001</t>
  </si>
  <si>
    <t>20505.61290000001</t>
  </si>
  <si>
    <t>20548.41875000001</t>
  </si>
  <si>
    <t>20588.92010000001</t>
  </si>
  <si>
    <t>20633.57660000001</t>
  </si>
  <si>
    <t>20677.46865000001</t>
  </si>
  <si>
    <t>20722.32845000001</t>
  </si>
  <si>
    <t>20768.944850000014</t>
  </si>
  <si>
    <t>20824.34715000001</t>
  </si>
  <si>
    <t>20878.82965000001</t>
  </si>
  <si>
    <t>20935.07190000001</t>
  </si>
  <si>
    <t>20993.214450000014</t>
  </si>
  <si>
    <t>21044.99800000001</t>
  </si>
  <si>
    <t>21100.97465000001</t>
  </si>
  <si>
    <t>21151.750600000014</t>
  </si>
  <si>
    <t>21205.08375000001</t>
  </si>
  <si>
    <t>21255.021400000012</t>
  </si>
  <si>
    <t>21302.73850000001</t>
  </si>
  <si>
    <t>21346.878300000015</t>
  </si>
  <si>
    <t>21383.80300000001</t>
  </si>
  <si>
    <t>21420.929050000013</t>
  </si>
  <si>
    <t>21457.50350000001</t>
  </si>
  <si>
    <t>21494.926100000008</t>
  </si>
  <si>
    <t>21539.86790000001</t>
  </si>
  <si>
    <t>21588.101100000014</t>
  </si>
  <si>
    <t>21638.187800000007</t>
  </si>
  <si>
    <t>21689.423850000006</t>
  </si>
  <si>
    <t>21740.284950000012</t>
  </si>
  <si>
    <t>21787.470050000014</t>
  </si>
  <si>
    <t>21829.900000000005</t>
  </si>
  <si>
    <t>21876.798300000006</t>
  </si>
  <si>
    <t>21926.381950000003</t>
  </si>
  <si>
    <t>21975.319550000004</t>
  </si>
  <si>
    <t>22023.992900000005</t>
  </si>
  <si>
    <t>22072.580150000005</t>
  </si>
  <si>
    <t>22116.54935</t>
  </si>
  <si>
    <t>22159.312900000004</t>
  </si>
  <si>
    <t>22201.851400000007</t>
  </si>
  <si>
    <t>22243.000300000007</t>
  </si>
  <si>
    <t>22278.25190000001</t>
  </si>
  <si>
    <t>22315.685850000005</t>
  </si>
  <si>
    <t>22346.918250000002</t>
  </si>
  <si>
    <t>22380.64395</t>
  </si>
  <si>
    <t>22414.4586</t>
  </si>
  <si>
    <t>22445.54400000001</t>
  </si>
  <si>
    <t>22478.250400000008</t>
  </si>
  <si>
    <t>22510.15750000001</t>
  </si>
  <si>
    <t>22542.20335000001</t>
  </si>
  <si>
    <t>22574.76780000001</t>
  </si>
  <si>
    <t>22607.683250000006</t>
  </si>
  <si>
    <t>22641.029150000006</t>
  </si>
  <si>
    <t>22667.893850000004</t>
  </si>
  <si>
    <t>22693.135800000004</t>
  </si>
  <si>
    <t>22721.747300000003</t>
  </si>
  <si>
    <t>22756.79600000001</t>
  </si>
  <si>
    <t>22804.166700000012</t>
  </si>
  <si>
    <t>22859.98345000001</t>
  </si>
  <si>
    <t>22913.17290000001</t>
  </si>
  <si>
    <t>22964.62740000001</t>
  </si>
  <si>
    <t>23015.943250000008</t>
  </si>
  <si>
    <t>23068.6987</t>
  </si>
  <si>
    <t>23120.40115</t>
  </si>
  <si>
    <t>23172.938850000002</t>
  </si>
  <si>
    <t>23223.753300000004</t>
  </si>
  <si>
    <t>23268.915550000005</t>
  </si>
  <si>
    <t>23319.47775000001</t>
  </si>
  <si>
    <t>23368.865450000005</t>
  </si>
  <si>
    <t>23421.020000000004</t>
  </si>
  <si>
    <t>23470.192750000002</t>
  </si>
  <si>
    <t>23516.69305</t>
  </si>
  <si>
    <t>23563.071600000007</t>
  </si>
  <si>
    <t>23610.488100000006</t>
  </si>
  <si>
    <t>23657.418350000004</t>
  </si>
  <si>
    <t>23699.738550000005</t>
  </si>
  <si>
    <t>23746.452300000004</t>
  </si>
  <si>
    <t>23796.7469</t>
  </si>
  <si>
    <t>23844.9378</t>
  </si>
  <si>
    <t>23891.619</t>
  </si>
  <si>
    <t>23941.445199999995</t>
  </si>
  <si>
    <t>24001.490550000002</t>
  </si>
  <si>
    <t>24066.990749999997</t>
  </si>
  <si>
    <t>24131.360999999997</t>
  </si>
  <si>
    <t>24199.543749999997</t>
  </si>
  <si>
    <t>24268.525049999993</t>
  </si>
  <si>
    <t>24335.619249999992</t>
  </si>
  <si>
    <t>24402.58255</t>
  </si>
  <si>
    <t>24468.37675</t>
  </si>
  <si>
    <t>24534.776449999994</t>
  </si>
  <si>
    <t>24602.354599999995</t>
  </si>
  <si>
    <t>24667.961949999994</t>
  </si>
  <si>
    <t>24731.532099999997</t>
  </si>
  <si>
    <t>24796.810399999995</t>
  </si>
  <si>
    <t>24866.744099999993</t>
  </si>
  <si>
    <t>24935.733649999987</t>
  </si>
  <si>
    <t>25004.36704999999</t>
  </si>
  <si>
    <t>25071.725999999988</t>
  </si>
  <si>
    <t>25138.791649999992</t>
  </si>
  <si>
    <t>25205.99419999999</t>
  </si>
  <si>
    <t>25272.93254999999</t>
  </si>
  <si>
    <t>25341.29839999999</t>
  </si>
  <si>
    <t>25410.160549999986</t>
  </si>
  <si>
    <t>25478.819549999986</t>
  </si>
  <si>
    <t>25550.669299999987</t>
  </si>
  <si>
    <t>25618.026149999987</t>
  </si>
  <si>
    <t>25686.268649999984</t>
  </si>
  <si>
    <t>25754.410749999985</t>
  </si>
  <si>
    <t>25821.488449999983</t>
  </si>
  <si>
    <t>25888.569649999983</t>
  </si>
  <si>
    <t>25955.698099999983</t>
  </si>
  <si>
    <t>26021.42654999998</t>
  </si>
  <si>
    <t>26087.39689999998</t>
  </si>
  <si>
    <t>26152.72009999998</t>
  </si>
  <si>
    <t>26214.650899999986</t>
  </si>
  <si>
    <t>26276.469649999985</t>
  </si>
  <si>
    <t>26338.039249999983</t>
  </si>
  <si>
    <t>26400.268249999983</t>
  </si>
  <si>
    <t>26460.44919999998</t>
  </si>
  <si>
    <t>26520.772749999982</t>
  </si>
  <si>
    <t>26580.12969999998</t>
  </si>
  <si>
    <t>26635.974449999983</t>
  </si>
  <si>
    <t>26685.966999999982</t>
  </si>
  <si>
    <t>26728.891649999983</t>
  </si>
  <si>
    <t>26770.86809999998</t>
  </si>
  <si>
    <t>26811.210849999985</t>
  </si>
  <si>
    <t>26850.481499999983</t>
  </si>
  <si>
    <t>26889.52584999999</t>
  </si>
  <si>
    <t>26930.638099999996</t>
  </si>
  <si>
    <t>26972.128449999993</t>
  </si>
  <si>
    <t>27006.37065</t>
  </si>
  <si>
    <t>27039.623599999995</t>
  </si>
  <si>
    <t>27072.33755</t>
  </si>
  <si>
    <t>27104.4724</t>
  </si>
  <si>
    <t>27138.101549999992</t>
  </si>
  <si>
    <t>27169.689</t>
  </si>
  <si>
    <t>27201.39685</t>
  </si>
  <si>
    <t>27231.948900000003</t>
  </si>
  <si>
    <t>27257.250650000005</t>
  </si>
  <si>
    <t>27272.862850000012</t>
  </si>
  <si>
    <t>27288.252100000005</t>
  </si>
  <si>
    <t>27303.389200000005</t>
  </si>
  <si>
    <t>27314.566450000006</t>
  </si>
  <si>
    <t>27327.2347</t>
  </si>
  <si>
    <t>27340.46655000001</t>
  </si>
  <si>
    <t>27355.82565000001</t>
  </si>
  <si>
    <t>27371.606600000006</t>
  </si>
  <si>
    <t>27386.91000000001</t>
  </si>
  <si>
    <t>27401.336950000008</t>
  </si>
  <si>
    <t>27418.097850000006</t>
  </si>
  <si>
    <t>27439.446750000003</t>
  </si>
  <si>
    <t>27467.781450000006</t>
  </si>
  <si>
    <t>27494.584350000005</t>
  </si>
  <si>
    <t>27516.096350000007</t>
  </si>
  <si>
    <t>27536.006550000002</t>
  </si>
  <si>
    <t>27552.155950000008</t>
  </si>
  <si>
    <t>27558.491200000004</t>
  </si>
  <si>
    <t>27568.00765000001</t>
  </si>
  <si>
    <t>27573.53940000001</t>
  </si>
  <si>
    <t>27579.03690000001</t>
  </si>
  <si>
    <t>27584.60050000001</t>
  </si>
  <si>
    <t>27590.45290000001</t>
  </si>
  <si>
    <t>27599.234850000008</t>
  </si>
  <si>
    <t>27607.13835000001</t>
  </si>
  <si>
    <t>27617.656200000012</t>
  </si>
  <si>
    <t>27633.004100000006</t>
  </si>
  <si>
    <t>27649.221400000006</t>
  </si>
  <si>
    <t>27664.623050000006</t>
  </si>
  <si>
    <t>27680.244200000005</t>
  </si>
  <si>
    <t>27694.42495</t>
  </si>
  <si>
    <t>27711.034850000004</t>
  </si>
  <si>
    <t>27734.889300000003</t>
  </si>
  <si>
    <t>27758.755750000008</t>
  </si>
  <si>
    <t>27780.00190000001</t>
  </si>
  <si>
    <t>27801.020350000003</t>
  </si>
  <si>
    <t>27821.9487</t>
  </si>
  <si>
    <t>27844.559400000006</t>
  </si>
  <si>
    <t>27867.0816</t>
  </si>
  <si>
    <t>27898.443599999995</t>
  </si>
  <si>
    <t>27927.555249999994</t>
  </si>
  <si>
    <t>27957.064549999996</t>
  </si>
  <si>
    <t>27979.202499999996</t>
  </si>
  <si>
    <t>27990.739249999995</t>
  </si>
  <si>
    <t>28002.738999999994</t>
  </si>
  <si>
    <t>28019.18134999999</t>
  </si>
  <si>
    <t>28024.403449999998</t>
  </si>
  <si>
    <t>28024.965599999996</t>
  </si>
  <si>
    <t>28027.051599999995</t>
  </si>
  <si>
    <t>28025.891699999993</t>
  </si>
  <si>
    <t>28025.674250000004</t>
  </si>
  <si>
    <t>28024.232999999993</t>
  </si>
  <si>
    <t>28023.812549999995</t>
  </si>
  <si>
    <t>28021.334549999992</t>
  </si>
  <si>
    <t>28019.201449999997</t>
  </si>
  <si>
    <t>28014.0965</t>
  </si>
  <si>
    <t>28009.150849999998</t>
  </si>
  <si>
    <t>28008.644699999997</t>
  </si>
  <si>
    <t>28001.389049999994</t>
  </si>
  <si>
    <t>27998.674099999997</t>
  </si>
  <si>
    <t>27999.613999999998</t>
  </si>
  <si>
    <t>27999.254599999997</t>
  </si>
  <si>
    <t>27999.929549999997</t>
  </si>
  <si>
    <t>28007.573749999996</t>
  </si>
  <si>
    <t>28016.081649999996</t>
  </si>
  <si>
    <t>28023.195049999995</t>
  </si>
  <si>
    <t>28036.666749999997</t>
  </si>
  <si>
    <t>28067.412499999995</t>
  </si>
  <si>
    <t>28099.054249999997</t>
  </si>
  <si>
    <t>28130.5699</t>
  </si>
  <si>
    <t>28158.988999999994</t>
  </si>
  <si>
    <t>28178.775699999995</t>
  </si>
  <si>
    <t>28200.397049999996</t>
  </si>
  <si>
    <t>28221.512899999994</t>
  </si>
  <si>
    <t>28239.963599999995</t>
  </si>
  <si>
    <t>28260.314849999988</t>
  </si>
  <si>
    <t>28284.973049999993</t>
  </si>
  <si>
    <t>28309.887799999993</t>
  </si>
  <si>
    <t>28332.979499999998</t>
  </si>
  <si>
    <t>28361.8646</t>
  </si>
  <si>
    <t>28392.917</t>
  </si>
  <si>
    <t>28427.2201</t>
  </si>
  <si>
    <t>28467.2897</t>
  </si>
  <si>
    <t>28512.33025</t>
  </si>
  <si>
    <t>28559.88945</t>
  </si>
  <si>
    <t>28608.35415</t>
  </si>
  <si>
    <t>28651.427000000003</t>
  </si>
  <si>
    <t>28690.415099999995</t>
  </si>
  <si>
    <t>28725.49355</t>
  </si>
  <si>
    <t>28759.511950000004</t>
  </si>
  <si>
    <t>28799.214900000003</t>
  </si>
  <si>
    <t>28838.519000000004</t>
  </si>
  <si>
    <t>28880.441150000002</t>
  </si>
  <si>
    <t>28920.684200000003</t>
  </si>
  <si>
    <t>28961.906100000004</t>
  </si>
  <si>
    <t>29001.78075</t>
  </si>
  <si>
    <t>29038.107450000007</t>
  </si>
  <si>
    <t>29080.076950000006</t>
  </si>
  <si>
    <t>29128.940500000008</t>
  </si>
  <si>
    <t>29179.768600000003</t>
  </si>
  <si>
    <t>29229.8516</t>
  </si>
  <si>
    <t>29278.378250000005</t>
  </si>
  <si>
    <t>29332.65400000001</t>
  </si>
  <si>
    <t>29388.280500000008</t>
  </si>
  <si>
    <t>29442.727950000008</t>
  </si>
  <si>
    <t>29497.954000000005</t>
  </si>
  <si>
    <t>29556.60745</t>
  </si>
  <si>
    <t>29619.23700000001</t>
  </si>
  <si>
    <t>29690.978050000005</t>
  </si>
  <si>
    <t>29765.83565</t>
  </si>
  <si>
    <t>29850.607450000007</t>
  </si>
  <si>
    <t>29933.47685</t>
  </si>
  <si>
    <t>30017.548100000004</t>
  </si>
  <si>
    <t>30101.094700000005</t>
  </si>
  <si>
    <t>30186.706500000015</t>
  </si>
  <si>
    <t>30265.66945000001</t>
  </si>
  <si>
    <t>30341.36220000001</t>
  </si>
  <si>
    <t>30414.39540000001</t>
  </si>
  <si>
    <t>30492.766850000015</t>
  </si>
  <si>
    <t>30566.397800000013</t>
  </si>
  <si>
    <t>30638.838000000007</t>
  </si>
  <si>
    <t>30712.715050000013</t>
  </si>
  <si>
    <t>30784.366300000012</t>
  </si>
  <si>
    <t>30863.30560000001</t>
  </si>
  <si>
    <t>30942.112650000014</t>
  </si>
  <si>
    <t>31024.74690000001</t>
  </si>
  <si>
    <t>31109.706000000017</t>
  </si>
  <si>
    <t>31199.390450000014</t>
  </si>
  <si>
    <t>31283.98770000001</t>
  </si>
  <si>
    <t>31368.314650000008</t>
  </si>
  <si>
    <t>31449.261550000007</t>
  </si>
  <si>
    <t>31535.356750000006</t>
  </si>
  <si>
    <t>31621.182800000002</t>
  </si>
  <si>
    <t>31704.472400000006</t>
  </si>
  <si>
    <t>31785.16730000001</t>
  </si>
  <si>
    <t>31867.74975000001</t>
  </si>
  <si>
    <t>31956.10055000001</t>
  </si>
  <si>
    <t>32054.522400000013</t>
  </si>
  <si>
    <t>32140.841500000013</t>
  </si>
  <si>
    <t>32224.330000000013</t>
  </si>
  <si>
    <t>32311.112400000013</t>
  </si>
  <si>
    <t>32395.89330000001</t>
  </si>
  <si>
    <t>32471.34735000001</t>
  </si>
  <si>
    <t>32544.789050000018</t>
  </si>
  <si>
    <t>32627.90685000001</t>
  </si>
  <si>
    <t>32704.235900000014</t>
  </si>
  <si>
    <t>32783.39310000001</t>
  </si>
  <si>
    <t>32861.39210000001</t>
  </si>
  <si>
    <t>32922.585750000006</t>
  </si>
  <si>
    <t>32984.975300000006</t>
  </si>
  <si>
    <t>33045.85860000001</t>
  </si>
  <si>
    <t>33107.8939</t>
  </si>
  <si>
    <t>33168.60645000001</t>
  </si>
  <si>
    <t>33228.64265000001</t>
  </si>
  <si>
    <t>33281.377850000004</t>
  </si>
  <si>
    <t>33334.315500000004</t>
  </si>
  <si>
    <t>33390.073200000006</t>
  </si>
  <si>
    <t>33441.53695</t>
  </si>
  <si>
    <t>33487.3471</t>
  </si>
  <si>
    <t>33535.7297</t>
  </si>
  <si>
    <t>33584.07045</t>
  </si>
  <si>
    <t>33638.6432</t>
  </si>
  <si>
    <t>33695.095</t>
  </si>
  <si>
    <t>33753.49795</t>
  </si>
  <si>
    <t>33811.91269999999</t>
  </si>
  <si>
    <t>33872.85964999999</t>
  </si>
  <si>
    <t>33935.86025</t>
  </si>
  <si>
    <t>33995.359899999996</t>
  </si>
  <si>
    <t>34059.50895</t>
  </si>
  <si>
    <t>34125.07194999999</t>
  </si>
  <si>
    <t>34189.61595</t>
  </si>
  <si>
    <t>34253.26730000001</t>
  </si>
  <si>
    <t>34318.32265000001</t>
  </si>
  <si>
    <t>34384.274300000005</t>
  </si>
  <si>
    <t>34458.414000000004</t>
  </si>
  <si>
    <t>34547.657400000004</t>
  </si>
  <si>
    <t>34638.43925</t>
  </si>
  <si>
    <t>34733.0278</t>
  </si>
  <si>
    <t>34827.9406</t>
  </si>
  <si>
    <t>34930.98405</t>
  </si>
  <si>
    <t>35041.69965</t>
  </si>
  <si>
    <t>35155.73935</t>
  </si>
  <si>
    <t>35268.95455</t>
  </si>
  <si>
    <t>35382.878950000006</t>
  </si>
  <si>
    <t>35494.3933</t>
  </si>
  <si>
    <t>35609.146550000005</t>
  </si>
  <si>
    <t>35722.82345</t>
  </si>
  <si>
    <t>35834.48755</t>
  </si>
  <si>
    <t>35947.19945</t>
  </si>
  <si>
    <t>36057.323749999996</t>
  </si>
  <si>
    <t>36165.89245</t>
  </si>
  <si>
    <t>36275.37654999999</t>
  </si>
  <si>
    <t>36385.59229999999</t>
  </si>
  <si>
    <t>36522.110799999995</t>
  </si>
  <si>
    <t>36671.84289999999</t>
  </si>
  <si>
    <t>36836.05909999999</t>
  </si>
  <si>
    <t>36998.86175</t>
  </si>
  <si>
    <t>37162.1069</t>
  </si>
  <si>
    <t>37327.167050000004</t>
  </si>
  <si>
    <t>37510.665700000005</t>
  </si>
  <si>
    <t>37713.63935</t>
  </si>
  <si>
    <t>37915.81525000001</t>
  </si>
  <si>
    <t>38119.671850000006</t>
  </si>
  <si>
    <t>38327.01885</t>
  </si>
  <si>
    <t>38538.95920000001</t>
  </si>
  <si>
    <t>38756.017400000004</t>
  </si>
  <si>
    <t>38983.001050000006</t>
  </si>
  <si>
    <t>39211.49340000001</t>
  </si>
  <si>
    <t>39445.90995000001</t>
  </si>
  <si>
    <t>39679.8496</t>
  </si>
  <si>
    <t>39890.701850000005</t>
  </si>
  <si>
    <t>40101.9231</t>
  </si>
  <si>
    <t>40299.91255</t>
  </si>
  <si>
    <t>40502.9475</t>
  </si>
  <si>
    <t>40694.384900000005</t>
  </si>
  <si>
    <t>40882.04005</t>
  </si>
  <si>
    <t>41086.941300000006</t>
  </si>
  <si>
    <t>41279.25815000001</t>
  </si>
  <si>
    <t>41473.51860000001</t>
  </si>
  <si>
    <t>41671.33405000001</t>
  </si>
  <si>
    <t>41879.61410000001</t>
  </si>
  <si>
    <t>42101.55980000002</t>
  </si>
  <si>
    <t>42322.13870000001</t>
  </si>
  <si>
    <t>42546.20380000002</t>
  </si>
  <si>
    <t>42768.38600000003</t>
  </si>
  <si>
    <t>42988.692400000014</t>
  </si>
  <si>
    <t>43210.0998</t>
  </si>
  <si>
    <t>43426.02240000001</t>
  </si>
  <si>
    <t>43623.3154</t>
  </si>
  <si>
    <t>43820.972649999996</t>
  </si>
  <si>
    <t>44021.10845000001</t>
  </si>
  <si>
    <t>44225.27505000001</t>
  </si>
  <si>
    <t>44429.5904</t>
  </si>
  <si>
    <t>44640.87860000001</t>
  </si>
  <si>
    <t>44865.89250000001</t>
  </si>
  <si>
    <t>45084.88750000001</t>
  </si>
  <si>
    <t>45297.86510000001</t>
  </si>
  <si>
    <t>45517.697250000005</t>
  </si>
  <si>
    <t>45738.39125000001</t>
  </si>
  <si>
    <t>45943.73205000001</t>
  </si>
  <si>
    <t>46133.76480000001</t>
  </si>
  <si>
    <t>46327.64090000003</t>
  </si>
  <si>
    <t>46508.10620000002</t>
  </si>
  <si>
    <t>46686.818800000015</t>
  </si>
  <si>
    <t>46863.098050000015</t>
  </si>
  <si>
    <t>47044.631300000015</t>
  </si>
  <si>
    <t>47227.25820000001</t>
  </si>
  <si>
    <t>47414.51315000001</t>
  </si>
  <si>
    <t>47606.71560000002</t>
  </si>
  <si>
    <t>47800.33440000002</t>
  </si>
  <si>
    <t>47992.52105000001</t>
  </si>
  <si>
    <t>48174.265150000014</t>
  </si>
  <si>
    <t>48357.25355000002</t>
  </si>
  <si>
    <t>48534.47915000002</t>
  </si>
  <si>
    <t>48717.41040000003</t>
  </si>
  <si>
    <t>48897.54320000003</t>
  </si>
  <si>
    <t>49069.99445000003</t>
  </si>
  <si>
    <t>49224.89920000003</t>
  </si>
  <si>
    <t>49383.17985000003</t>
  </si>
  <si>
    <t>49542.66530000003</t>
  </si>
  <si>
    <t>49718.36680000003</t>
  </si>
  <si>
    <t>49895.34040000004</t>
  </si>
  <si>
    <t>50072.27345000004</t>
  </si>
  <si>
    <t>50242.12305000003</t>
  </si>
  <si>
    <t>50404.721100000024</t>
  </si>
  <si>
    <t>50562.820800000016</t>
  </si>
  <si>
    <t>50723.41740000002</t>
  </si>
  <si>
    <t>50857.48290000002</t>
  </si>
  <si>
    <t>50991.422350000015</t>
  </si>
  <si>
    <t>51133.654300000024</t>
  </si>
  <si>
    <t>51272.49040000001</t>
  </si>
  <si>
    <t>51415.89130000002</t>
  </si>
  <si>
    <t>51573.97265000002</t>
  </si>
  <si>
    <t>51733.53105000002</t>
  </si>
  <si>
    <t>51896.228000000025</t>
  </si>
  <si>
    <t>52058.61915000003</t>
  </si>
  <si>
    <t>52217.92410000003</t>
  </si>
  <si>
    <t>52399.47910000002</t>
  </si>
  <si>
    <t>52574.88265000002</t>
  </si>
  <si>
    <t>52746.339600000036</t>
  </si>
  <si>
    <t>52910.50030000003</t>
  </si>
  <si>
    <t>53081.08430000003</t>
  </si>
  <si>
    <t>53249.300200000034</t>
  </si>
  <si>
    <t>53411.33035000003</t>
  </si>
  <si>
    <t>53567.52615000002</t>
  </si>
  <si>
    <t>53720.97825000002</t>
  </si>
  <si>
    <t>53875.95835000003</t>
  </si>
  <si>
    <t>54032.12440000002</t>
  </si>
  <si>
    <t>54188.596350000014</t>
  </si>
  <si>
    <t>54346.784200000024</t>
  </si>
  <si>
    <t>54505.80285000002</t>
  </si>
  <si>
    <t>54669.92690000001</t>
  </si>
  <si>
    <t>54842.7119</t>
  </si>
  <si>
    <t>55014.73995</t>
  </si>
  <si>
    <t>55183.49495</t>
  </si>
  <si>
    <t>55344.33855000001</t>
  </si>
  <si>
    <t>55508.565149999995</t>
  </si>
  <si>
    <t>55669.62025000001</t>
  </si>
  <si>
    <t>55817.857149999996</t>
  </si>
  <si>
    <t>55968.28684999999</t>
  </si>
  <si>
    <t>56116.8601</t>
  </si>
  <si>
    <t>56265.024949999985</t>
  </si>
  <si>
    <t>56409.70424999999</t>
  </si>
  <si>
    <t>56552.309749999986</t>
  </si>
  <si>
    <t>56694.99714999998</t>
  </si>
  <si>
    <t>56829.00349999998</t>
  </si>
  <si>
    <t>56960.73404999998</t>
  </si>
  <si>
    <t>57088.748699999975</t>
  </si>
  <si>
    <t>57201.256849999976</t>
  </si>
  <si>
    <t>57313.37084999997</t>
  </si>
  <si>
    <t>57415.53214999997</t>
  </si>
  <si>
    <t>57504.43329999996</t>
  </si>
  <si>
    <t>57592.663599999956</t>
  </si>
  <si>
    <t>57680.08639999996</t>
  </si>
  <si>
    <t>57767.32999999995</t>
  </si>
  <si>
    <t>57863.87609999995</t>
  </si>
  <si>
    <t>57960.173699999956</t>
  </si>
  <si>
    <t>58060.90349999995</t>
  </si>
  <si>
    <t>58161.79879999995</t>
  </si>
  <si>
    <t>58261.672599999954</t>
  </si>
  <si>
    <t>58352.31369999995</t>
  </si>
  <si>
    <t>58433.843649999944</t>
  </si>
  <si>
    <t>58507.68484999994</t>
  </si>
  <si>
    <t>58576.99784999995</t>
  </si>
  <si>
    <t>58649.237199999945</t>
  </si>
  <si>
    <t>58712.24104999994</t>
  </si>
  <si>
    <t>58780.753349999926</t>
  </si>
  <si>
    <t>58851.18049999993</t>
  </si>
  <si>
    <t>58922.06379999993</t>
  </si>
  <si>
    <t>58992.352049999936</t>
  </si>
  <si>
    <t>59071.92229999994</t>
  </si>
  <si>
    <t>59157.38969999994</t>
  </si>
  <si>
    <t>59256.93454999993</t>
  </si>
  <si>
    <t>59367.007549999944</t>
  </si>
  <si>
    <t>59482.01069999994</t>
  </si>
  <si>
    <t>59592.39074999993</t>
  </si>
  <si>
    <t>59700.42849999994</t>
  </si>
  <si>
    <t>59807.52229999994</t>
  </si>
  <si>
    <t>59924.18029999995</t>
  </si>
  <si>
    <t>60046.00224999995</t>
  </si>
  <si>
    <t>60159.88764999994</t>
  </si>
  <si>
    <t>60270.663049999945</t>
  </si>
  <si>
    <t>60372.29499999995</t>
  </si>
  <si>
    <t>60484.93989999994</t>
  </si>
  <si>
    <t>60592.23339999994</t>
  </si>
  <si>
    <t>60702.36979999994</t>
  </si>
  <si>
    <t>60816.155249999945</t>
  </si>
  <si>
    <t>60918.61594999994</t>
  </si>
  <si>
    <t>61034.95059999994</t>
  </si>
  <si>
    <t>61142.45364999994</t>
  </si>
  <si>
    <t>61250.71359999994</t>
  </si>
  <si>
    <t>61343.92194999994</t>
  </si>
  <si>
    <t>61433.065149999944</t>
  </si>
  <si>
    <t>61489.62349999994</t>
  </si>
  <si>
    <t>61562.81899999994</t>
  </si>
  <si>
    <t>61638.60769999994</t>
  </si>
  <si>
    <t>61717.15379999994</t>
  </si>
  <si>
    <t>61816.264449999944</t>
  </si>
  <si>
    <t>61923.17009999996</t>
  </si>
  <si>
    <t>62027.29634999996</t>
  </si>
  <si>
    <t>83728.46430000002</t>
  </si>
  <si>
    <t>83840.86465000002</t>
  </si>
  <si>
    <t>83963.36555000002</t>
  </si>
  <si>
    <t>84083.34415</t>
  </si>
  <si>
    <t>84201.03</t>
  </si>
  <si>
    <t>84324.62440000002</t>
  </si>
  <si>
    <t>84460.92385000002</t>
  </si>
  <si>
    <t>84589.42190000002</t>
  </si>
  <si>
    <t>84715.85715000001</t>
  </si>
  <si>
    <t>84855.59150000001</t>
  </si>
  <si>
    <t>85009.08050000003</t>
  </si>
  <si>
    <t>85167.14530000002</t>
  </si>
  <si>
    <t>85332.32115</t>
  </si>
  <si>
    <t>85497.09829999998</t>
  </si>
  <si>
    <t>85646.02145</t>
  </si>
  <si>
    <t>85773.6151</t>
  </si>
  <si>
    <t>85904.27885</t>
  </si>
  <si>
    <t>86025.17875</t>
  </si>
  <si>
    <t>86155.04104999999</t>
  </si>
  <si>
    <t>86279.28814999998</t>
  </si>
  <si>
    <t>86394.10109999997</t>
  </si>
  <si>
    <t>86518.04679999998</t>
  </si>
  <si>
    <t>86639.10969999999</t>
  </si>
  <si>
    <t>86751.9875</t>
  </si>
  <si>
    <t>86829.3206</t>
  </si>
  <si>
    <t>86908.60635000002</t>
  </si>
  <si>
    <t>86979.66425000003</t>
  </si>
  <si>
    <t>87072.69710000003</t>
  </si>
  <si>
    <t>87166.02605000003</t>
  </si>
  <si>
    <t>87267.04490000004</t>
  </si>
  <si>
    <t>87370.73395000005</t>
  </si>
  <si>
    <t>87472.13965000004</t>
  </si>
  <si>
    <t>87569.67515000004</t>
  </si>
  <si>
    <t>87660.34655000003</t>
  </si>
  <si>
    <t>87754.54860000004</t>
  </si>
  <si>
    <t>87858.40590000001</t>
  </si>
  <si>
    <t>87967.25655000003</t>
  </si>
  <si>
    <t>88083.85985000001</t>
  </si>
  <si>
    <t>88216.66350000004</t>
  </si>
  <si>
    <t>88353.03345000003</t>
  </si>
  <si>
    <t>88510.92820000001</t>
  </si>
  <si>
    <t>88665.74410000003</t>
  </si>
  <si>
    <t>88820.68875000002</t>
  </si>
  <si>
    <t>88980.48060000001</t>
  </si>
  <si>
    <t>89140.6104</t>
  </si>
  <si>
    <t>89309.63575000002</t>
  </si>
  <si>
    <t>89478.25075000004</t>
  </si>
  <si>
    <t>89636.36575000001</t>
  </si>
  <si>
    <t>89803.87895</t>
  </si>
  <si>
    <t>89964.48254999999</t>
  </si>
  <si>
    <t>90116.97969999998</t>
  </si>
  <si>
    <t>90256.78129999997</t>
  </si>
  <si>
    <t>90392.52764999999</t>
  </si>
  <si>
    <t>90524.38114999999</t>
  </si>
  <si>
    <t>90667.41404999998</t>
  </si>
  <si>
    <t>90823.19764999999</t>
  </si>
  <si>
    <t>90996.95169999996</t>
  </si>
  <si>
    <t>91177.18064999998</t>
  </si>
  <si>
    <t>91365.52409999997</t>
  </si>
  <si>
    <t>91548.38724999996</t>
  </si>
  <si>
    <t>91727.83489999996</t>
  </si>
  <si>
    <t>91910.79694999996</t>
  </si>
  <si>
    <t>92088.73539999995</t>
  </si>
  <si>
    <t>92264.86864999995</t>
  </si>
  <si>
    <t>92424.45109999993</t>
  </si>
  <si>
    <t>92582.75749999992</t>
  </si>
  <si>
    <t>92744.84724999993</t>
  </si>
  <si>
    <t>92925.99964999994</t>
  </si>
  <si>
    <t>93113.55834999993</t>
  </si>
  <si>
    <t>93326.62159999994</t>
  </si>
  <si>
    <t>93532.32894999994</t>
  </si>
  <si>
    <t>93730.87509999992</t>
  </si>
  <si>
    <t>93897.04089999995</t>
  </si>
  <si>
    <t>94068.83154999994</t>
  </si>
  <si>
    <t>94236.01549999995</t>
  </si>
  <si>
    <t>94397.43009999995</t>
  </si>
  <si>
    <t>94538.85474999998</t>
  </si>
  <si>
    <t>94656.30909999998</t>
  </si>
  <si>
    <t>94734.77709999998</t>
  </si>
  <si>
    <t>94816.55774999996</t>
  </si>
  <si>
    <t>94890.85459999998</t>
  </si>
  <si>
    <t>94972.54185000001</t>
  </si>
  <si>
    <t>95043.67489999998</t>
  </si>
  <si>
    <t>95114.78265000001</t>
  </si>
  <si>
    <t>95180.35294999999</t>
  </si>
  <si>
    <t>95247.80165</t>
  </si>
  <si>
    <t>95308.38424999999</t>
  </si>
  <si>
    <t>95358.99774999998</t>
  </si>
  <si>
    <t>95412.04129999997</t>
  </si>
  <si>
    <t>95467.05014999998</t>
  </si>
  <si>
    <t>95515.39229999996</t>
  </si>
  <si>
    <t>95552.10534999998</t>
  </si>
  <si>
    <t>95612.52924999996</t>
  </si>
  <si>
    <t>95671.89164999998</t>
  </si>
  <si>
    <t>95729.61999999997</t>
  </si>
  <si>
    <t>95772.97829999999</t>
  </si>
  <si>
    <t>95813.57759999996</t>
  </si>
  <si>
    <t>95851.80639999994</t>
  </si>
  <si>
    <t>95895.45564999996</t>
  </si>
  <si>
    <t>95934.74344999995</t>
  </si>
  <si>
    <t>95964.30169999994</t>
  </si>
  <si>
    <t>95962.93644999994</t>
  </si>
  <si>
    <t>95999.04974999995</t>
  </si>
  <si>
    <t>96035.94419999994</t>
  </si>
  <si>
    <t>96073.45029999994</t>
  </si>
  <si>
    <t>96115.75794999994</t>
  </si>
  <si>
    <t>96166.94329999993</t>
  </si>
  <si>
    <t>96213.02914999993</t>
  </si>
  <si>
    <t>96247.06134999995</t>
  </si>
  <si>
    <t>96278.22034999996</t>
  </si>
  <si>
    <t>96309.35139999996</t>
  </si>
  <si>
    <t>96343.84259999996</t>
  </si>
  <si>
    <t>96362.32269999996</t>
  </si>
  <si>
    <t>96369.38069999997</t>
  </si>
  <si>
    <t>96389.49999999996</t>
  </si>
  <si>
    <t>96429.11894999997</t>
  </si>
  <si>
    <t>96486.64654999999</t>
  </si>
  <si>
    <t>96544.63914999997</t>
  </si>
  <si>
    <t>96618.85969999997</t>
  </si>
  <si>
    <t>96733.26534999996</t>
  </si>
  <si>
    <t>96849.0979</t>
  </si>
  <si>
    <t>96948.57829999996</t>
  </si>
  <si>
    <t>97071.26929999996</t>
  </si>
  <si>
    <t>97178.51144999996</t>
  </si>
  <si>
    <t>97299.87014999997</t>
  </si>
  <si>
    <t>97419.02094999998</t>
  </si>
  <si>
    <t>97545.90474999996</t>
  </si>
  <si>
    <t>97667.81009999997</t>
  </si>
  <si>
    <t>97789.71039999997</t>
  </si>
  <si>
    <t>97898.17695000001</t>
  </si>
  <si>
    <t>98007.50444999998</t>
  </si>
  <si>
    <t>98109.67390000001</t>
  </si>
  <si>
    <t>98212.741</t>
  </si>
  <si>
    <t>98296.01770000001</t>
  </si>
  <si>
    <t>98381.2926</t>
  </si>
  <si>
    <t>98495.81245000003</t>
  </si>
  <si>
    <t>98622.56520000003</t>
  </si>
  <si>
    <t>98740.46395000005</t>
  </si>
  <si>
    <t>98857.82365000003</t>
  </si>
  <si>
    <t>98977.07090000005</t>
  </si>
  <si>
    <t>99086.65635000005</t>
  </si>
  <si>
    <t>99173.03225000003</t>
  </si>
  <si>
    <t>99255.21685000003</t>
  </si>
  <si>
    <t>99331.06925000003</t>
  </si>
  <si>
    <t>99390.09135000002</t>
  </si>
  <si>
    <t>99441.71415000003</t>
  </si>
  <si>
    <t>99499.48985000001</t>
  </si>
  <si>
    <t>99562.60735000003</t>
  </si>
  <si>
    <t>99628.38225000004</t>
  </si>
  <si>
    <t>99695.96875000004</t>
  </si>
  <si>
    <t>99782.69305000003</t>
  </si>
  <si>
    <t>99852.40845000003</t>
  </si>
  <si>
    <t>99932.0222</t>
  </si>
  <si>
    <t>100011.93974999998</t>
  </si>
  <si>
    <t>100102.34584999998</t>
  </si>
  <si>
    <t>100177.81209999997</t>
  </si>
  <si>
    <t>100256.27184999996</t>
  </si>
  <si>
    <t>100309.00139999995</t>
  </si>
  <si>
    <t>100362.14639999995</t>
  </si>
  <si>
    <t>100420.18914999995</t>
  </si>
  <si>
    <t>100491.18694999994</t>
  </si>
  <si>
    <t>100579.26944999995</t>
  </si>
  <si>
    <t>100660.07089999996</t>
  </si>
  <si>
    <t>100744.15724999995</t>
  </si>
  <si>
    <t>100816.80134999994</t>
  </si>
  <si>
    <t>100880.26314999994</t>
  </si>
  <si>
    <t>100955.76509999992</t>
  </si>
  <si>
    <t>101035.66904999994</t>
  </si>
  <si>
    <t>101098.41899999994</t>
  </si>
  <si>
    <t>101152.6389499999</t>
  </si>
  <si>
    <t>101216.51754999992</t>
  </si>
  <si>
    <t>101279.42089999992</t>
  </si>
  <si>
    <t>101346.61449999994</t>
  </si>
  <si>
    <t>101416.03874999992</t>
  </si>
  <si>
    <t>101483.70534999995</t>
  </si>
  <si>
    <t>101559.75029999996</t>
  </si>
  <si>
    <t>101635.69234999995</t>
  </si>
  <si>
    <t>101711.03939999994</t>
  </si>
  <si>
    <t>101784.92549999994</t>
  </si>
  <si>
    <t>101852.21704999992</t>
  </si>
  <si>
    <t>101933.05064999993</t>
  </si>
  <si>
    <t>102023.52059999993</t>
  </si>
  <si>
    <t>102122.86344999993</t>
  </si>
  <si>
    <t>102257.79349999994</t>
  </si>
  <si>
    <t>102396.06439999996</t>
  </si>
  <si>
    <t>102546.78639999997</t>
  </si>
  <si>
    <t>102716.12389999996</t>
  </si>
  <si>
    <t>102871.97909999998</t>
  </si>
  <si>
    <t>103028.04599999997</t>
  </si>
  <si>
    <t>103150.66464999998</t>
  </si>
  <si>
    <t>103310.28884999998</t>
  </si>
  <si>
    <t>103443.32745</t>
  </si>
  <si>
    <t>103554.26715</t>
  </si>
  <si>
    <t>103677.79495</t>
  </si>
  <si>
    <t>103812.19339999997</t>
  </si>
  <si>
    <t>103946.28554999997</t>
  </si>
  <si>
    <t>104086.07819999996</t>
  </si>
  <si>
    <t>104226.93909999996</t>
  </si>
  <si>
    <t>104361.67049999996</t>
  </si>
  <si>
    <t>104508.43359999996</t>
  </si>
  <si>
    <t>104661.71084999997</t>
  </si>
  <si>
    <t>104823.26719999997</t>
  </si>
  <si>
    <t>104999.55014999997</t>
  </si>
  <si>
    <t>105184.19889999994</t>
  </si>
  <si>
    <t>105381.95194999996</t>
  </si>
  <si>
    <t>105578.83894999996</t>
  </si>
  <si>
    <t>105774.04299999995</t>
  </si>
  <si>
    <t>105973.37184999997</t>
  </si>
  <si>
    <t>106165.44894999998</t>
  </si>
  <si>
    <t>106350.72794999999</t>
  </si>
  <si>
    <t>106520.28249999999</t>
  </si>
  <si>
    <t>106643.53709999999</t>
  </si>
  <si>
    <t>106766.32324999999</t>
  </si>
  <si>
    <t>106906.00044999996</t>
  </si>
  <si>
    <t>107044.36494999997</t>
  </si>
  <si>
    <t>107191.16889999995</t>
  </si>
  <si>
    <t>107330.80624999997</t>
  </si>
  <si>
    <t>107452.77794999995</t>
  </si>
  <si>
    <t>107567.16479999995</t>
  </si>
  <si>
    <t>107681.91679999996</t>
  </si>
  <si>
    <t>107820.95294999995</t>
  </si>
  <si>
    <t>107951.98584999994</t>
  </si>
  <si>
    <t>108075.30889999995</t>
  </si>
  <si>
    <t>108209.29704999995</t>
  </si>
  <si>
    <t>108372.96049999993</t>
  </si>
  <si>
    <t>108535.13644999992</t>
  </si>
  <si>
    <t>108715.07944999993</t>
  </si>
  <si>
    <t>108883.03094999993</t>
  </si>
  <si>
    <t>109043.44194999993</t>
  </si>
  <si>
    <t>109187.72304999993</t>
  </si>
  <si>
    <t>109309.61849999994</t>
  </si>
  <si>
    <t>109434.33359999994</t>
  </si>
  <si>
    <t>109558.74809999992</t>
  </si>
  <si>
    <t>109690.72624999992</t>
  </si>
  <si>
    <t>109805.34124999994</t>
  </si>
  <si>
    <t>109902.09099999996</t>
  </si>
  <si>
    <t>109988.17319999996</t>
  </si>
  <si>
    <t>110079.19489999994</t>
  </si>
  <si>
    <t>110151.80909999997</t>
  </si>
  <si>
    <t>110219.49139999996</t>
  </si>
  <si>
    <t>110262.18904999996</t>
  </si>
  <si>
    <t>110326.64589999994</t>
  </si>
  <si>
    <t>110378.99534999994</t>
  </si>
  <si>
    <t>110423.41134999994</t>
  </si>
  <si>
    <t>110463.49514999994</t>
  </si>
  <si>
    <t>110474.84734999995</t>
  </si>
  <si>
    <t>110479.86509999997</t>
  </si>
  <si>
    <t>110484.30449999995</t>
  </si>
  <si>
    <t>110477.54269999996</t>
  </si>
  <si>
    <t>110450.18994999997</t>
  </si>
  <si>
    <t>110425.26374999998</t>
  </si>
  <si>
    <t>110406.03569999998</t>
  </si>
  <si>
    <t>110357.97629999997</t>
  </si>
  <si>
    <t>110307.89304999998</t>
  </si>
  <si>
    <t>110256.0771</t>
  </si>
  <si>
    <t>110193.21234999999</t>
  </si>
  <si>
    <t>110115.42434999999</t>
  </si>
  <si>
    <t>110036.35424999999</t>
  </si>
  <si>
    <t>109972.54705</t>
  </si>
  <si>
    <t>109908.9295</t>
  </si>
  <si>
    <t>109844.62784999999</t>
  </si>
  <si>
    <t>109783.04324999997</t>
  </si>
  <si>
    <t>109700.07459999998</t>
  </si>
  <si>
    <t>109617.71249999998</t>
  </si>
  <si>
    <t>109566.94444999997</t>
  </si>
  <si>
    <t>109512.24194999997</t>
  </si>
  <si>
    <t>109445.84049999998</t>
  </si>
  <si>
    <t>109365.26089999996</t>
  </si>
  <si>
    <t>109277.71789999997</t>
  </si>
  <si>
    <t>109178.57815</t>
  </si>
  <si>
    <t>109082.58959999999</t>
  </si>
  <si>
    <t>109002.14464999997</t>
  </si>
  <si>
    <t>108915.68969999999</t>
  </si>
  <si>
    <t>108828.82784999999</t>
  </si>
  <si>
    <t>108732.46310000001</t>
  </si>
  <si>
    <t>108636.61720000002</t>
  </si>
  <si>
    <t>108543.80150000002</t>
  </si>
  <si>
    <t>108451.32100000004</t>
  </si>
  <si>
    <t>108365.38605000003</t>
  </si>
  <si>
    <t>108275.67050000001</t>
  </si>
  <si>
    <t>108191.0098</t>
  </si>
  <si>
    <t>108104.08335000002</t>
  </si>
  <si>
    <t>108018.5654</t>
  </si>
  <si>
    <t>107940.28125</t>
  </si>
  <si>
    <t>107858.90335000001</t>
  </si>
  <si>
    <t>107768.27375</t>
  </si>
  <si>
    <t>107678.30154999999</t>
  </si>
  <si>
    <t>107582.92885000001</t>
  </si>
  <si>
    <t>107472.66790000001</t>
  </si>
  <si>
    <t>107363.58630000001</t>
  </si>
  <si>
    <t>107263.79565000001</t>
  </si>
  <si>
    <t>107178.54565000001</t>
  </si>
  <si>
    <t>107094.65075000002</t>
  </si>
  <si>
    <t>107006.27135000004</t>
  </si>
  <si>
    <t>106918.13385000004</t>
  </si>
  <si>
    <t>106840.02250000004</t>
  </si>
  <si>
    <t>106772.01820000003</t>
  </si>
  <si>
    <t>106713.32105000004</t>
  </si>
  <si>
    <t>106658.22155000003</t>
  </si>
  <si>
    <t>106600.42110000004</t>
  </si>
  <si>
    <t>106542.80375000002</t>
  </si>
  <si>
    <t>106487.63975000002</t>
  </si>
  <si>
    <t>106412.90145000003</t>
  </si>
  <si>
    <t>106330.43725000003</t>
  </si>
  <si>
    <t>106250.09730000004</t>
  </si>
  <si>
    <t>106175.25120000003</t>
  </si>
  <si>
    <t>106115.77560000002</t>
  </si>
  <si>
    <t>106060.16475000004</t>
  </si>
  <si>
    <t>105999.09470000005</t>
  </si>
  <si>
    <t>105942.86490000004</t>
  </si>
  <si>
    <t>105879.65420000005</t>
  </si>
  <si>
    <t>105796.54330000006</t>
  </si>
  <si>
    <t>105707.20745000006</t>
  </si>
  <si>
    <t>105612.67545000007</t>
  </si>
  <si>
    <t>105520.58800000008</t>
  </si>
  <si>
    <t>105424.70750000009</t>
  </si>
  <si>
    <t>105329.24820000006</t>
  </si>
  <si>
    <t>105226.54365000007</t>
  </si>
  <si>
    <t>105108.96210000006</t>
  </si>
  <si>
    <t>104962.02985000006</t>
  </si>
  <si>
    <t>104820.13470000008</t>
  </si>
  <si>
    <t>104667.87005000007</t>
  </si>
  <si>
    <t>104479.90865000006</t>
  </si>
  <si>
    <t>104308.49865000005</t>
  </si>
  <si>
    <t>104106.09660000006</t>
  </si>
  <si>
    <t>103902.1126000001</t>
  </si>
  <si>
    <t>103698.2900000001</t>
  </si>
  <si>
    <t>103486.8169500001</t>
  </si>
  <si>
    <t>103246.19000000009</t>
  </si>
  <si>
    <t>102987.25955000012</t>
  </si>
  <si>
    <t>102739.65655000009</t>
  </si>
  <si>
    <t>102499.98815000006</t>
  </si>
  <si>
    <t>102258.17310000007</t>
  </si>
  <si>
    <t>102022.57375000005</t>
  </si>
  <si>
    <t>101768.69505000004</t>
  </si>
  <si>
    <t>101513.21425000005</t>
  </si>
  <si>
    <t>101254.73660000003</t>
  </si>
  <si>
    <t>101011.90430000004</t>
  </si>
  <si>
    <t>100770.25915000003</t>
  </si>
  <si>
    <t>100521.09380000005</t>
  </si>
  <si>
    <t>100286.07790000003</t>
  </si>
  <si>
    <t>100054.99160000002</t>
  </si>
  <si>
    <t>99820.07085000003</t>
  </si>
  <si>
    <t>99584.54930000003</t>
  </si>
  <si>
    <t>99354.12730000004</t>
  </si>
  <si>
    <t>99122.46760000005</t>
  </si>
  <si>
    <t>98867.14740000002</t>
  </si>
  <si>
    <t>98602.29070000003</t>
  </si>
  <si>
    <t>98349.31695000002</t>
  </si>
  <si>
    <t>98097.12</t>
  </si>
  <si>
    <t>97827.06604999998</t>
  </si>
  <si>
    <t>97557.80615</t>
  </si>
  <si>
    <t>97287.635</t>
  </si>
  <si>
    <t>97016.93175000003</t>
  </si>
  <si>
    <t>96765.00455</t>
  </si>
  <si>
    <t>96533.0986</t>
  </si>
  <si>
    <t>96305.20195000002</t>
  </si>
  <si>
    <t>96077.52700000003</t>
  </si>
  <si>
    <t>95841.99420000002</t>
  </si>
  <si>
    <t>95609.56095000001</t>
  </si>
  <si>
    <t>95382.88449999999</t>
  </si>
  <si>
    <t>95167.94399999999</t>
  </si>
  <si>
    <t>94941.73525</t>
  </si>
  <si>
    <t>94718.87800000001</t>
  </si>
  <si>
    <t>94516.67395</t>
  </si>
  <si>
    <t>94319.56219999999</t>
  </si>
  <si>
    <t>94120.39294999998</t>
  </si>
  <si>
    <t>93926.41214999997</t>
  </si>
  <si>
    <t>93748.32279999998</t>
  </si>
  <si>
    <t>93570.36159999996</t>
  </si>
  <si>
    <t>93377.13489999999</t>
  </si>
  <si>
    <t>93185.68594999997</t>
  </si>
  <si>
    <t>92986.67004999999</t>
  </si>
  <si>
    <t>92773.11975000001</t>
  </si>
  <si>
    <t>92570.80535</t>
  </si>
  <si>
    <t>92366.2567</t>
  </si>
  <si>
    <t>92167.76699999999</t>
  </si>
  <si>
    <t>91959.4962</t>
  </si>
  <si>
    <t>91732.62764999998</t>
  </si>
  <si>
    <t>91506.11554999997</t>
  </si>
  <si>
    <t>91275.38159999998</t>
  </si>
  <si>
    <t>91040.44554999997</t>
  </si>
  <si>
    <t>90800.93959999997</t>
  </si>
  <si>
    <t>90563.27934999997</t>
  </si>
  <si>
    <t>90318.19154999997</t>
  </si>
  <si>
    <t>90076.3874</t>
  </si>
  <si>
    <t>89833.31955</t>
  </si>
  <si>
    <t>89587.04609999999</t>
  </si>
  <si>
    <t>89347.68519999999</t>
  </si>
  <si>
    <t>89108.68735</t>
  </si>
  <si>
    <t>88887.16229999998</t>
  </si>
  <si>
    <t>88665.21839999998</t>
  </si>
  <si>
    <t>88462.03444999998</t>
  </si>
  <si>
    <t>88262.70944999998</t>
  </si>
  <si>
    <t>88054.70429999998</t>
  </si>
  <si>
    <t>87852.6152</t>
  </si>
  <si>
    <t>87677.30919999997</t>
  </si>
  <si>
    <t>87501.56994999998</t>
  </si>
  <si>
    <t>87327.85854999999</t>
  </si>
  <si>
    <t>87146.04875000002</t>
  </si>
  <si>
    <t>86957.39535000002</t>
  </si>
  <si>
    <t>86751.37790000005</t>
  </si>
  <si>
    <t>86532.53590000003</t>
  </si>
  <si>
    <t>86309.57990000006</t>
  </si>
  <si>
    <t>86089.75865000002</t>
  </si>
  <si>
    <t>85863.50680000003</t>
  </si>
  <si>
    <t>85629.7726</t>
  </si>
  <si>
    <t>85397.73840000002</t>
  </si>
  <si>
    <t>85175.0096</t>
  </si>
  <si>
    <t>84954.88009999998</t>
  </si>
  <si>
    <t>84730.18849999999</t>
  </si>
  <si>
    <t>84552.8524</t>
  </si>
  <si>
    <t>84374.67435</t>
  </si>
  <si>
    <t>84187.21359999999</t>
  </si>
  <si>
    <t>84015.29135</t>
  </si>
  <si>
    <t>83848.36034999999</t>
  </si>
  <si>
    <t>83693.74649999998</t>
  </si>
  <si>
    <t>83565.83789999998</t>
  </si>
  <si>
    <t>83438.40119999998</t>
  </si>
  <si>
    <t>83303.646</t>
  </si>
  <si>
    <t>83149.25529999999</t>
  </si>
  <si>
    <t>83004.02639999999</t>
  </si>
  <si>
    <t>82867.65819999999</t>
  </si>
  <si>
    <t>82725.75954999999</t>
  </si>
  <si>
    <t>82574.70674999998</t>
  </si>
  <si>
    <t>82419.583</t>
  </si>
  <si>
    <t>Average of Price</t>
  </si>
  <si>
    <t xml:space="preserve">مالیات </t>
  </si>
  <si>
    <t>ماليات بر ارزش افزوده</t>
  </si>
  <si>
    <t>مطابق قرارداد برعهده خريدار گاز است</t>
  </si>
  <si>
    <t>ماليات، نرخ تنزيل و تغيير قيمت‌ها</t>
  </si>
  <si>
    <t>گاز خشك: جز متان</t>
  </si>
  <si>
    <t>مجموع تعداد ژنراتورها- كل گاز</t>
  </si>
  <si>
    <t>هزار دلار به ازاي هر مگا وات</t>
  </si>
  <si>
    <t>Average Growth (%)</t>
  </si>
  <si>
    <t>هش ريت فعلي شبكه</t>
  </si>
  <si>
    <t>مشخصات ماينر</t>
  </si>
  <si>
    <t>مدل</t>
  </si>
  <si>
    <t>مصرف</t>
  </si>
  <si>
    <t>هش ريت</t>
  </si>
  <si>
    <t>نصب در رك</t>
  </si>
  <si>
    <t>هزار دلار</t>
  </si>
  <si>
    <t>تعداد مورد نياز ماينر</t>
  </si>
  <si>
    <t>متغيرهاي شبكه</t>
  </si>
  <si>
    <t>رشد هش ريت در دوره اول استخراج</t>
  </si>
  <si>
    <t>پيش‌بيني براساس متوسط رشد در هاوينگ‌هاي گذشته و 
مدل S-curve هش ريت براي پيش‌بيني‌هاي بلند مدت</t>
  </si>
  <si>
    <t>رشد هش ريت در دوره دوم استخراج</t>
  </si>
  <si>
    <t>رشد هش ريت در دوره سوم استخراج</t>
  </si>
  <si>
    <t>رشد هش ريت در دوره چهارم استخراج</t>
  </si>
  <si>
    <t>درصد ماهيانه</t>
  </si>
  <si>
    <t>اثر هاوينگ (Halving): كاهش پاداش استخراج</t>
  </si>
  <si>
    <t>خرسي (Bear)</t>
  </si>
  <si>
    <t>پايه (Base)</t>
  </si>
  <si>
    <t>گاوي (Bull)</t>
  </si>
  <si>
    <t>وضعيت بازار</t>
  </si>
  <si>
    <t>شرح - محاسبه هش ريت
براساس معادله درجه 3</t>
  </si>
  <si>
    <t>سال هاي پروژه</t>
  </si>
  <si>
    <t>قبل از قرارداد</t>
  </si>
  <si>
    <t>قيمت فعلي بيت كوين</t>
  </si>
  <si>
    <t>پيش بيني هش ريت شبكه</t>
  </si>
  <si>
    <t>كارمزد و هزینه های بازاریابی و فروش</t>
  </si>
  <si>
    <t>ژ</t>
  </si>
  <si>
    <t>بدبينانه</t>
  </si>
  <si>
    <t>پايه</t>
  </si>
  <si>
    <t>خوشبينانه</t>
  </si>
  <si>
    <t>بازار خرسي</t>
  </si>
  <si>
    <t>بازار گاوي</t>
  </si>
  <si>
    <t>شرايط بازار</t>
  </si>
  <si>
    <t>دوره براساس قرارداد</t>
  </si>
  <si>
    <t>فروش برق</t>
  </si>
  <si>
    <t>برق</t>
  </si>
  <si>
    <t>بازار آرام</t>
  </si>
  <si>
    <t>بيت‌كوين</t>
  </si>
  <si>
    <t>محصول/محصولات</t>
  </si>
  <si>
    <t>استخراج رمز ارز</t>
  </si>
  <si>
    <t>گاز مايع و ميعانات گازي</t>
  </si>
  <si>
    <t>سرمايه ثابت</t>
  </si>
  <si>
    <t>مجموع درآمد سالیانه</t>
  </si>
  <si>
    <t>5</t>
  </si>
  <si>
    <t>1-9</t>
  </si>
  <si>
    <t>2-9</t>
  </si>
  <si>
    <t>واحد انتقال برق</t>
  </si>
  <si>
    <t>پست برق</t>
  </si>
  <si>
    <t>انتقال برق</t>
  </si>
  <si>
    <t>سفارش، خرید، حمل و نقل و نصب پست برق</t>
  </si>
  <si>
    <t>میلیون ریال به ازای هر کاوا</t>
  </si>
  <si>
    <t>میلیون ریال به ازای هر کیلومتر</t>
  </si>
  <si>
    <t>کیلوولت آمپر</t>
  </si>
  <si>
    <t>بودجه‌ریزی شرح کار واحدهاي فرآيندي شيرين سازي و جداسازي گاز مايع</t>
  </si>
  <si>
    <t xml:space="preserve"> بودجه‌ریزی شرح کار واحد توليد برق</t>
  </si>
  <si>
    <t>بودجه ریزی واحد انتقال برق</t>
  </si>
  <si>
    <t>بودجه‌ریزی شرح کار واحد  استخراج رمزارز</t>
  </si>
  <si>
    <t>مشخصات واحد انتقال برق</t>
  </si>
  <si>
    <t>دکل‌گذاری و کابل فشار قوی</t>
  </si>
  <si>
    <t>کیلومتر</t>
  </si>
  <si>
    <t>4-5</t>
  </si>
  <si>
    <t>5-5</t>
  </si>
  <si>
    <t>1-6</t>
  </si>
  <si>
    <t>واحد
انتقال
برق</t>
  </si>
  <si>
    <t>فاز تولید</t>
  </si>
  <si>
    <t>اقلام اصلی و پارامترهای مهم سرمایه ثابت</t>
  </si>
  <si>
    <t>خرید زمین</t>
  </si>
  <si>
    <t>پیش پرداخت واحد اداری</t>
  </si>
  <si>
    <t>بین پروژه ها تقسیم می گردد</t>
  </si>
  <si>
    <t>ستاد تهران</t>
  </si>
  <si>
    <t>سناریو</t>
  </si>
  <si>
    <t>کل گاز شیرین شده</t>
  </si>
  <si>
    <t>مجموع انرژي ورودي به ژنراتور</t>
  </si>
  <si>
    <t>انرژي الكتريكي توليد شده</t>
  </si>
  <si>
    <t>توان لحظه‌اي برق توليدي</t>
  </si>
  <si>
    <t>تعداد ژنراتور اصلي</t>
  </si>
  <si>
    <t>محصول: برق</t>
  </si>
  <si>
    <t>محصول: فرآورده‌ها</t>
  </si>
  <si>
    <t>عنوان</t>
  </si>
  <si>
    <t>گاز مایع و استخراج رمزارز</t>
  </si>
  <si>
    <t>انتخاب راهکار بازیابی گاز همراه</t>
  </si>
  <si>
    <t>گزینه های راهکار بازیابی</t>
  </si>
  <si>
    <t>دلار/كيلووات ساعت</t>
  </si>
  <si>
    <t>شرايط</t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</si>
  <si>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فروش برق در بورس انرژی</t>
    </r>
  </si>
  <si>
    <r>
      <t xml:space="preserve">تبدیل کل گاز شیرین شده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رمزارز و ترید رمزارز</t>
    </r>
  </si>
  <si>
    <r>
      <t xml:space="preserve">جداسازی و فروش جزء غنی گاز شامل گاز مایع و میعانات گازی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تبدیل جز خشک گاز  به برق
</t>
    </r>
    <r>
      <rPr>
        <sz val="12"/>
        <rFont val="Wingdings"/>
        <charset val="2"/>
      </rPr>
      <t>ê</t>
    </r>
    <r>
      <rPr>
        <sz val="12"/>
        <rFont val="B Nazanin"/>
        <charset val="178"/>
      </rPr>
      <t xml:space="preserve">
 استخراج رمز ارز از برق تولیدی و ترید رمزارز </t>
    </r>
  </si>
  <si>
    <t>وضعيت بازار رمزارز</t>
  </si>
  <si>
    <t>تغيير قيمت</t>
  </si>
  <si>
    <t>دوره چهارم استخراج</t>
  </si>
  <si>
    <t>زمان‌بندي دوره توليد براساس تغييرات پاداش استخراج بيت‌كوين (اثر هاوينگ)</t>
  </si>
  <si>
    <t>مدل كانتينري استوك</t>
  </si>
  <si>
    <t>مجموع سرمایه ثابت</t>
  </si>
  <si>
    <t>جزييات سرمایه گذاری ثابت</t>
  </si>
  <si>
    <t>واحد حذف سولفور</t>
  </si>
  <si>
    <t>واحد ميني‌ان‌جي‌ال</t>
  </si>
  <si>
    <t>قيمت برق</t>
  </si>
  <si>
    <t>قيمت فعلي و تغييرات قيمت رمزارز در دوره‌هاي هاوينگ</t>
  </si>
  <si>
    <t>Antminer S21+ Hydro</t>
  </si>
  <si>
    <t>سرمایه در گردش برای هزینه عملیاتی</t>
  </si>
  <si>
    <t>پيش بيني قيمت رمزارز</t>
  </si>
  <si>
    <t>درآمد ماهیانه</t>
  </si>
  <si>
    <t>برق-مگاوات ساعت</t>
  </si>
  <si>
    <t>درآمد از محل</t>
  </si>
  <si>
    <t>تن دلار</t>
  </si>
  <si>
    <t>قيمت گاز مايع و ميعانات گازي</t>
  </si>
  <si>
    <t>مشخصات واحد خنك‌كننده</t>
  </si>
  <si>
    <t>چيلر</t>
  </si>
  <si>
    <t>برق: واحد خنك‌كننده</t>
  </si>
  <si>
    <t>كيلووات ساعت</t>
  </si>
  <si>
    <t>تن به ازاي هر ماينر</t>
  </si>
  <si>
    <t>مصرف چيلر</t>
  </si>
  <si>
    <t>كيلووات به ازاي هر تن</t>
  </si>
  <si>
    <t>تعداد ماینرها</t>
  </si>
  <si>
    <t>برق در دسترس جهت استخراج رمزارز يا فروش</t>
  </si>
  <si>
    <t>دوره براساس اثر هاوينگ</t>
  </si>
  <si>
    <t xml:space="preserve"> محصول/محصولات توليدي</t>
  </si>
  <si>
    <t>به خريدار محصولات منتقل مي گردد</t>
  </si>
  <si>
    <t>واحد خنك كننده</t>
  </si>
  <si>
    <t xml:space="preserve">چيلر با كمپرسور اسكرو </t>
  </si>
  <si>
    <t>6</t>
  </si>
  <si>
    <t>1-7</t>
  </si>
  <si>
    <t>2-7</t>
  </si>
  <si>
    <t>3-7</t>
  </si>
  <si>
    <t>1-10</t>
  </si>
  <si>
    <t>2-10</t>
  </si>
  <si>
    <t>8</t>
  </si>
  <si>
    <t>11</t>
  </si>
  <si>
    <t>كمپرسور اسكرو</t>
  </si>
  <si>
    <t>تناژ كمپرسور اسكرو</t>
  </si>
  <si>
    <t>ميليون ريال به ازاي هر تن</t>
  </si>
  <si>
    <t>ميليون ریال</t>
  </si>
  <si>
    <t>آب مقطر اوليه- واحد خنك كننده</t>
  </si>
  <si>
    <t>آب مقطر اولیه- واحد شيرين سازي</t>
  </si>
  <si>
    <t>آب مقطر جبرانی (Makeup)- واحد شيرين سازي</t>
  </si>
  <si>
    <t>آب مقطر جبرانی (Makeup)- واحد خنك كننده</t>
  </si>
  <si>
    <t>ليتر در روز</t>
  </si>
  <si>
    <t>ليتر در هفته</t>
  </si>
  <si>
    <t>خلاصه وضعيت ارزيابي اقتصادي پروژه</t>
  </si>
  <si>
    <t>%</t>
  </si>
  <si>
    <t>ارزش فروش</t>
  </si>
  <si>
    <t>جمع کل هزينه هاي ثابت</t>
  </si>
  <si>
    <t>جمع کل هزينه هاي متغير‏‎</t>
  </si>
  <si>
    <t>رمزارز</t>
  </si>
  <si>
    <t>تن در سال</t>
  </si>
  <si>
    <t>ساخت و راه‌اندازي، محوطه سازی و  ساختمان‌ها</t>
  </si>
  <si>
    <t>ماشين آلات و تجهيزات شيرين‌سازي و حذف سولفور</t>
  </si>
  <si>
    <t>ماشين آلات و تجهيزات جداسازي گاز مايع و ميعانات</t>
  </si>
  <si>
    <t>موتورهاي گازسوز</t>
  </si>
  <si>
    <t>تجهيزات انتقال برق</t>
  </si>
  <si>
    <t>ماينرها</t>
  </si>
  <si>
    <t>تجهيزات خنك كننده</t>
  </si>
  <si>
    <t>سنت در هر كيلووات ساعت</t>
  </si>
  <si>
    <t>درصد از سرمايه</t>
  </si>
  <si>
    <t>ماينر</t>
  </si>
  <si>
    <t>=</t>
  </si>
  <si>
    <t>واحد
خنك
كننده</t>
  </si>
  <si>
    <t>اقلام اصلي سرمايه ثابت</t>
  </si>
  <si>
    <t>سهم بخش كالا و تجهيزات
 در سرمايه ثابت</t>
  </si>
  <si>
    <t>محصولات توليدي
 قابل فروش</t>
  </si>
  <si>
    <t>هزينه‌هاي ساليانه</t>
  </si>
  <si>
    <t>يك: فعال/ صفر: غيرفعال</t>
  </si>
  <si>
    <t>با حذف هزينه‌هاي ذخيره و حمل</t>
  </si>
  <si>
    <t>هزينه هاي اداري و تشكيلاتي (ستاد و زيرساخت)</t>
  </si>
  <si>
    <t>قيمت فروش برق به شبكه سراسري در بورس</t>
  </si>
  <si>
    <t>حذف یوتیلیتی از برق تولیدی</t>
  </si>
  <si>
    <t>انتخاب وضعيت بازار رمزارز</t>
  </si>
  <si>
    <t>درآمدها</t>
  </si>
  <si>
    <t>برآورد محصولات</t>
  </si>
  <si>
    <t>دبي ورودي پرسياه</t>
  </si>
  <si>
    <t>دبي ورودي  كبود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</si>
</sst>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#,##0.0"/>
    <numFmt numFmtId="166" formatCode="#,##0.000"/>
    <numFmt numFmtId="167" formatCode="_(* #,##0_);_(* \(#,##0\);_(* &quot;-&quot;??_);_(@_)"/>
    <numFmt numFmtId="168" formatCode="#,##0.0000"/>
    <numFmt numFmtId="169" formatCode="#,##0_ ;\-#,##0\ "/>
    <numFmt numFmtId="170" formatCode="_-* #,##0_-;\-* #,##0_-;_-* &quot;-&quot;??_-;_-@_-"/>
    <numFmt numFmtId="171" formatCode="0.0"/>
    <numFmt numFmtId="172" formatCode="0.000"/>
    <numFmt numFmtId="173" formatCode="#,##0.000_);\(#,##0.000\)"/>
    <numFmt numFmtId="174" formatCode="0.0000000000"/>
    <numFmt numFmtId="175" formatCode="#,##0.00000"/>
    <numFmt numFmtId="176" formatCode="#,##0.00_ ;\-#,##0.00\ "/>
    <numFmt numFmtId="177" formatCode="#,##0.0000_);\(#,##0.0000\)"/>
    <numFmt numFmtId="178" formatCode="#,##0.000_ ;\-#,##0.000\ "/>
    <numFmt numFmtId="179" formatCode="0.0000000%"/>
    <numFmt numFmtId="180" formatCode="0.0000"/>
  </numFmts>
  <fonts count="34" x14ac:knownFonts="1">
    <font>
      <sz val="10"/>
      <name val="Arial"/>
      <charset val="178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0"/>
      <name val="B Nazanin"/>
      <charset val="178"/>
    </font>
    <font>
      <sz val="12"/>
      <name val="Times New Roman"/>
      <family val="1"/>
    </font>
    <font>
      <sz val="8"/>
      <name val="Arial"/>
      <family val="2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sz val="10"/>
      <name val="Arial"/>
      <family val="2"/>
      <scheme val="minor"/>
    </font>
    <font>
      <b/>
      <sz val="12"/>
      <name val="B Nazanin"/>
      <charset val="178"/>
    </font>
    <font>
      <sz val="8"/>
      <name val="Arial"/>
      <family val="2"/>
    </font>
    <font>
      <sz val="12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B Nazanin"/>
      <charset val="178"/>
    </font>
    <font>
      <sz val="12"/>
      <name val="Times New Roman"/>
      <family val="1"/>
      <scheme val="maj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Arial"/>
      <family val="2"/>
    </font>
    <font>
      <b/>
      <sz val="12"/>
      <color theme="0"/>
      <name val="B Nazanin"/>
      <charset val="178"/>
    </font>
    <font>
      <b/>
      <sz val="10"/>
      <color theme="1"/>
      <name val="Arial"/>
      <family val="2"/>
    </font>
    <font>
      <b/>
      <sz val="10"/>
      <color theme="0"/>
      <name val="B Nazanin"/>
      <charset val="178"/>
    </font>
    <font>
      <sz val="12"/>
      <name val="Wingdings"/>
      <charset val="2"/>
    </font>
    <font>
      <b/>
      <sz val="16"/>
      <name val="B Nazanin"/>
      <charset val="178"/>
    </font>
    <font>
      <sz val="16"/>
      <name val="B Nazanin"/>
      <charset val="178"/>
    </font>
    <font>
      <b/>
      <sz val="24"/>
      <name val="B Nazanin"/>
      <charset val="178"/>
    </font>
    <font>
      <sz val="1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theme="6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2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7" fillId="0" borderId="0"/>
  </cellStyleXfs>
  <cellXfs count="841">
    <xf numFmtId="0" fontId="0" fillId="0" borderId="0" xfId="0"/>
    <xf numFmtId="0" fontId="12" fillId="0" borderId="0" xfId="0" applyFont="1"/>
    <xf numFmtId="43" fontId="12" fillId="0" borderId="0" xfId="4" applyFont="1"/>
    <xf numFmtId="9" fontId="12" fillId="0" borderId="0" xfId="5" applyFont="1"/>
    <xf numFmtId="0" fontId="10" fillId="0" borderId="0" xfId="6" applyFont="1"/>
    <xf numFmtId="0" fontId="11" fillId="2" borderId="0" xfId="6" applyFont="1" applyFill="1"/>
    <xf numFmtId="167" fontId="10" fillId="2" borderId="0" xfId="4" applyNumberFormat="1" applyFont="1" applyFill="1" applyBorder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center"/>
    </xf>
    <xf numFmtId="167" fontId="10" fillId="0" borderId="0" xfId="4" applyNumberFormat="1" applyFont="1"/>
    <xf numFmtId="43" fontId="10" fillId="0" borderId="0" xfId="2" applyNumberFormat="1" applyFont="1"/>
    <xf numFmtId="10" fontId="12" fillId="0" borderId="0" xfId="5" applyNumberFormat="1" applyFont="1"/>
    <xf numFmtId="10" fontId="12" fillId="0" borderId="0" xfId="0" applyNumberFormat="1" applyFont="1"/>
    <xf numFmtId="0" fontId="13" fillId="2" borderId="0" xfId="3" applyFont="1" applyFill="1" applyAlignment="1">
      <alignment horizontal="right" vertical="center" readingOrder="2"/>
    </xf>
    <xf numFmtId="3" fontId="13" fillId="2" borderId="0" xfId="3" applyNumberFormat="1" applyFont="1" applyFill="1" applyAlignment="1">
      <alignment horizontal="right" vertical="center" readingOrder="2"/>
    </xf>
    <xf numFmtId="3" fontId="15" fillId="2" borderId="0" xfId="3" applyNumberFormat="1" applyFont="1" applyFill="1" applyAlignment="1">
      <alignment vertical="center" readingOrder="2"/>
    </xf>
    <xf numFmtId="41" fontId="15" fillId="2" borderId="0" xfId="3" applyNumberFormat="1" applyFont="1" applyFill="1" applyAlignment="1">
      <alignment vertical="center" readingOrder="2"/>
    </xf>
    <xf numFmtId="0" fontId="15" fillId="0" borderId="0" xfId="3" applyFont="1" applyAlignment="1">
      <alignment vertical="center" readingOrder="2"/>
    </xf>
    <xf numFmtId="0" fontId="7" fillId="0" borderId="0" xfId="3" applyFont="1"/>
    <xf numFmtId="0" fontId="15" fillId="2" borderId="0" xfId="3" applyFont="1" applyFill="1" applyAlignment="1">
      <alignment vertical="center" readingOrder="2"/>
    </xf>
    <xf numFmtId="0" fontId="15" fillId="0" borderId="0" xfId="6" applyFont="1"/>
    <xf numFmtId="167" fontId="15" fillId="0" borderId="0" xfId="4" applyNumberFormat="1" applyFont="1"/>
    <xf numFmtId="3" fontId="15" fillId="4" borderId="17" xfId="6" applyNumberFormat="1" applyFont="1" applyFill="1" applyBorder="1" applyAlignment="1">
      <alignment horizontal="center" vertical="center"/>
    </xf>
    <xf numFmtId="0" fontId="15" fillId="0" borderId="0" xfId="1" applyFont="1"/>
    <xf numFmtId="0" fontId="15" fillId="0" borderId="0" xfId="1" applyFont="1" applyAlignment="1">
      <alignment horizontal="center"/>
    </xf>
    <xf numFmtId="0" fontId="7" fillId="0" borderId="0" xfId="0" applyFont="1"/>
    <xf numFmtId="0" fontId="13" fillId="0" borderId="0" xfId="1" applyFont="1" applyAlignment="1">
      <alignment vertical="center"/>
    </xf>
    <xf numFmtId="3" fontId="15" fillId="0" borderId="0" xfId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15" fillId="0" borderId="0" xfId="1" applyNumberFormat="1" applyFont="1" applyAlignment="1">
      <alignment horizontal="center"/>
    </xf>
    <xf numFmtId="3" fontId="15" fillId="0" borderId="0" xfId="1" applyNumberFormat="1" applyFont="1" applyAlignment="1">
      <alignment horizontal="center"/>
    </xf>
    <xf numFmtId="3" fontId="15" fillId="0" borderId="0" xfId="1" applyNumberFormat="1" applyFont="1"/>
    <xf numFmtId="0" fontId="15" fillId="0" borderId="0" xfId="1" applyFont="1" applyAlignment="1">
      <alignment vertic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164" fontId="15" fillId="0" borderId="0" xfId="1" applyNumberFormat="1" applyFont="1"/>
    <xf numFmtId="43" fontId="7" fillId="0" borderId="0" xfId="4" applyFont="1"/>
    <xf numFmtId="167" fontId="7" fillId="0" borderId="0" xfId="4" applyNumberFormat="1" applyFont="1"/>
    <xf numFmtId="0" fontId="15" fillId="4" borderId="3" xfId="6" applyFont="1" applyFill="1" applyBorder="1" applyAlignment="1">
      <alignment horizontal="center" vertical="center"/>
    </xf>
    <xf numFmtId="3" fontId="15" fillId="4" borderId="5" xfId="6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readingOrder="2"/>
    </xf>
    <xf numFmtId="0" fontId="18" fillId="2" borderId="0" xfId="0" applyFont="1" applyFill="1" applyAlignment="1">
      <alignment horizontal="center" readingOrder="2"/>
    </xf>
    <xf numFmtId="1" fontId="18" fillId="2" borderId="0" xfId="0" applyNumberFormat="1" applyFont="1" applyFill="1" applyAlignment="1">
      <alignment horizontal="center" readingOrder="2"/>
    </xf>
    <xf numFmtId="0" fontId="18" fillId="2" borderId="0" xfId="0" applyFont="1" applyFill="1" applyAlignment="1">
      <alignment readingOrder="2"/>
    </xf>
    <xf numFmtId="1" fontId="15" fillId="2" borderId="0" xfId="0" applyNumberFormat="1" applyFont="1" applyFill="1" applyAlignment="1">
      <alignment readingOrder="2"/>
    </xf>
    <xf numFmtId="0" fontId="15" fillId="2" borderId="0" xfId="0" applyFont="1" applyFill="1" applyAlignment="1">
      <alignment readingOrder="2"/>
    </xf>
    <xf numFmtId="1" fontId="18" fillId="0" borderId="15" xfId="0" applyNumberFormat="1" applyFont="1" applyBorder="1" applyAlignment="1">
      <alignment horizontal="center" vertical="center" readingOrder="2"/>
    </xf>
    <xf numFmtId="3" fontId="18" fillId="0" borderId="15" xfId="0" applyNumberFormat="1" applyFont="1" applyBorder="1" applyAlignment="1">
      <alignment horizontal="center" vertical="center" readingOrder="2"/>
    </xf>
    <xf numFmtId="168" fontId="17" fillId="3" borderId="15" xfId="0" applyNumberFormat="1" applyFont="1" applyFill="1" applyBorder="1" applyAlignment="1">
      <alignment readingOrder="2"/>
    </xf>
    <xf numFmtId="3" fontId="17" fillId="0" borderId="15" xfId="0" applyNumberFormat="1" applyFont="1" applyBorder="1" applyAlignment="1">
      <alignment horizontal="center" vertical="center" readingOrder="2"/>
    </xf>
    <xf numFmtId="0" fontId="17" fillId="3" borderId="15" xfId="0" applyFont="1" applyFill="1" applyBorder="1" applyAlignment="1">
      <alignment readingOrder="2"/>
    </xf>
    <xf numFmtId="3" fontId="18" fillId="2" borderId="15" xfId="0" applyNumberFormat="1" applyFont="1" applyFill="1" applyBorder="1" applyAlignment="1">
      <alignment horizontal="center" vertical="center" readingOrder="2"/>
    </xf>
    <xf numFmtId="1" fontId="18" fillId="0" borderId="20" xfId="0" applyNumberFormat="1" applyFont="1" applyBorder="1" applyAlignment="1">
      <alignment horizontal="center" vertical="center" readingOrder="2"/>
    </xf>
    <xf numFmtId="3" fontId="18" fillId="0" borderId="0" xfId="0" applyNumberFormat="1" applyFont="1" applyAlignment="1">
      <alignment readingOrder="2"/>
    </xf>
    <xf numFmtId="170" fontId="17" fillId="0" borderId="0" xfId="4" applyNumberFormat="1" applyFont="1" applyFill="1" applyBorder="1" applyAlignment="1">
      <alignment horizontal="center" vertical="center" readingOrder="2"/>
    </xf>
    <xf numFmtId="3" fontId="7" fillId="0" borderId="0" xfId="0" applyNumberFormat="1" applyFont="1"/>
    <xf numFmtId="4" fontId="7" fillId="0" borderId="0" xfId="0" applyNumberFormat="1" applyFont="1"/>
    <xf numFmtId="0" fontId="17" fillId="2" borderId="0" xfId="3" applyFont="1" applyFill="1" applyAlignment="1">
      <alignment horizontal="right" vertical="center" readingOrder="2"/>
    </xf>
    <xf numFmtId="0" fontId="15" fillId="2" borderId="0" xfId="3" applyFont="1" applyFill="1" applyAlignment="1">
      <alignment horizontal="center" vertical="center" readingOrder="2"/>
    </xf>
    <xf numFmtId="167" fontId="7" fillId="0" borderId="0" xfId="7" applyNumberFormat="1" applyFont="1"/>
    <xf numFmtId="3" fontId="7" fillId="0" borderId="0" xfId="3" applyNumberFormat="1" applyFont="1"/>
    <xf numFmtId="0" fontId="15" fillId="0" borderId="0" xfId="2" applyFont="1"/>
    <xf numFmtId="0" fontId="15" fillId="0" borderId="0" xfId="2" applyFont="1" applyAlignment="1">
      <alignment horizontal="center"/>
    </xf>
    <xf numFmtId="0" fontId="15" fillId="0" borderId="4" xfId="2" applyFont="1" applyBorder="1" applyAlignment="1">
      <alignment horizontal="center"/>
    </xf>
    <xf numFmtId="0" fontId="7" fillId="0" borderId="21" xfId="3" applyFont="1" applyBorder="1" applyAlignment="1">
      <alignment horizontal="right"/>
    </xf>
    <xf numFmtId="3" fontId="15" fillId="0" borderId="1" xfId="2" applyNumberFormat="1" applyFont="1" applyBorder="1" applyAlignment="1">
      <alignment horizontal="center"/>
    </xf>
    <xf numFmtId="0" fontId="7" fillId="0" borderId="23" xfId="3" applyFont="1" applyBorder="1"/>
    <xf numFmtId="167" fontId="15" fillId="0" borderId="0" xfId="4" applyNumberFormat="1" applyFont="1" applyBorder="1"/>
    <xf numFmtId="167" fontId="15" fillId="0" borderId="0" xfId="2" applyNumberFormat="1" applyFont="1"/>
    <xf numFmtId="9" fontId="15" fillId="0" borderId="1" xfId="2" applyNumberFormat="1" applyFont="1" applyBorder="1" applyAlignment="1">
      <alignment horizontal="center"/>
    </xf>
    <xf numFmtId="3" fontId="15" fillId="0" borderId="5" xfId="2" applyNumberFormat="1" applyFont="1" applyBorder="1" applyAlignment="1">
      <alignment horizontal="center"/>
    </xf>
    <xf numFmtId="0" fontId="7" fillId="0" borderId="13" xfId="3" applyFont="1" applyBorder="1"/>
    <xf numFmtId="3" fontId="15" fillId="0" borderId="0" xfId="2" applyNumberFormat="1" applyFont="1"/>
    <xf numFmtId="1" fontId="15" fillId="0" borderId="0" xfId="2" applyNumberFormat="1" applyFont="1" applyAlignment="1">
      <alignment horizontal="center"/>
    </xf>
    <xf numFmtId="3" fontId="15" fillId="2" borderId="15" xfId="3" applyNumberFormat="1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wrapText="1" readingOrder="2"/>
    </xf>
    <xf numFmtId="0" fontId="13" fillId="0" borderId="0" xfId="1" applyFont="1" applyAlignment="1">
      <alignment horizontal="center" vertical="center"/>
    </xf>
    <xf numFmtId="0" fontId="13" fillId="3" borderId="15" xfId="1" applyFont="1" applyFill="1" applyBorder="1" applyAlignment="1">
      <alignment horizontal="center"/>
    </xf>
    <xf numFmtId="0" fontId="13" fillId="2" borderId="0" xfId="6" applyFont="1" applyFill="1" applyAlignment="1">
      <alignment horizontal="right" vertical="center"/>
    </xf>
    <xf numFmtId="3" fontId="13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center" vertical="center"/>
    </xf>
    <xf numFmtId="0" fontId="13" fillId="0" borderId="0" xfId="0" applyFont="1" applyAlignment="1">
      <alignment horizontal="center" vertical="top" wrapText="1" readingOrder="2"/>
    </xf>
    <xf numFmtId="3" fontId="13" fillId="0" borderId="0" xfId="0" applyNumberFormat="1" applyFont="1" applyAlignment="1">
      <alignment horizontal="center" readingOrder="2"/>
    </xf>
    <xf numFmtId="0" fontId="15" fillId="4" borderId="15" xfId="6" applyFont="1" applyFill="1" applyBorder="1" applyAlignment="1">
      <alignment horizontal="center" vertical="center"/>
    </xf>
    <xf numFmtId="3" fontId="15" fillId="0" borderId="15" xfId="6" applyNumberFormat="1" applyFont="1" applyBorder="1" applyAlignment="1">
      <alignment horizontal="center" vertical="center"/>
    </xf>
    <xf numFmtId="165" fontId="15" fillId="0" borderId="15" xfId="6" applyNumberFormat="1" applyFont="1" applyBorder="1" applyAlignment="1">
      <alignment horizontal="center" vertical="center"/>
    </xf>
    <xf numFmtId="3" fontId="15" fillId="0" borderId="15" xfId="2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center" vertical="center" readingOrder="2"/>
    </xf>
    <xf numFmtId="3" fontId="15" fillId="0" borderId="15" xfId="0" applyNumberFormat="1" applyFont="1" applyBorder="1" applyAlignment="1">
      <alignment horizontal="center" readingOrder="2"/>
    </xf>
    <xf numFmtId="0" fontId="15" fillId="0" borderId="15" xfId="2" applyFont="1" applyBorder="1" applyAlignment="1">
      <alignment horizontal="center" vertical="center"/>
    </xf>
    <xf numFmtId="3" fontId="15" fillId="4" borderId="15" xfId="0" applyNumberFormat="1" applyFont="1" applyFill="1" applyBorder="1" applyAlignment="1">
      <alignment horizontal="center" vertical="center" readingOrder="2"/>
    </xf>
    <xf numFmtId="3" fontId="15" fillId="4" borderId="15" xfId="0" applyNumberFormat="1" applyFont="1" applyFill="1" applyBorder="1" applyAlignment="1">
      <alignment horizontal="center" readingOrder="2"/>
    </xf>
    <xf numFmtId="3" fontId="15" fillId="4" borderId="0" xfId="6" applyNumberFormat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10" fontId="13" fillId="0" borderId="0" xfId="5" applyNumberFormat="1" applyFont="1" applyFill="1" applyBorder="1" applyAlignment="1">
      <alignment horizontal="center" vertical="center"/>
    </xf>
    <xf numFmtId="10" fontId="15" fillId="0" borderId="0" xfId="1" applyNumberFormat="1" applyFont="1"/>
    <xf numFmtId="166" fontId="13" fillId="0" borderId="0" xfId="0" applyNumberFormat="1" applyFont="1" applyAlignment="1">
      <alignment horizontal="center" readingOrder="2"/>
    </xf>
    <xf numFmtId="3" fontId="15" fillId="4" borderId="17" xfId="6" quotePrefix="1" applyNumberFormat="1" applyFont="1" applyFill="1" applyBorder="1" applyAlignment="1">
      <alignment horizontal="center" vertical="center"/>
    </xf>
    <xf numFmtId="175" fontId="15" fillId="4" borderId="17" xfId="6" applyNumberFormat="1" applyFont="1" applyFill="1" applyBorder="1" applyAlignment="1">
      <alignment horizontal="center" vertical="center"/>
    </xf>
    <xf numFmtId="43" fontId="13" fillId="2" borderId="15" xfId="4" applyFont="1" applyFill="1" applyBorder="1" applyAlignment="1">
      <alignment horizontal="center" vertical="center" readingOrder="2"/>
    </xf>
    <xf numFmtId="43" fontId="13" fillId="2" borderId="34" xfId="4" applyFont="1" applyFill="1" applyBorder="1" applyAlignment="1">
      <alignment horizontal="center" vertical="center" readingOrder="2"/>
    </xf>
    <xf numFmtId="0" fontId="13" fillId="3" borderId="35" xfId="1" applyFont="1" applyFill="1" applyBorder="1" applyAlignment="1">
      <alignment horizontal="center"/>
    </xf>
    <xf numFmtId="0" fontId="13" fillId="3" borderId="34" xfId="1" applyFont="1" applyFill="1" applyBorder="1" applyAlignment="1">
      <alignment horizontal="center"/>
    </xf>
    <xf numFmtId="0" fontId="15" fillId="0" borderId="15" xfId="2" applyFont="1" applyBorder="1" applyAlignment="1">
      <alignment horizontal="center"/>
    </xf>
    <xf numFmtId="0" fontId="7" fillId="0" borderId="15" xfId="3" applyFont="1" applyBorder="1" applyAlignment="1">
      <alignment horizontal="right"/>
    </xf>
    <xf numFmtId="9" fontId="13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center"/>
    </xf>
    <xf numFmtId="3" fontId="15" fillId="4" borderId="15" xfId="6" applyNumberFormat="1" applyFont="1" applyFill="1" applyBorder="1" applyAlignment="1">
      <alignment horizontal="center" vertical="center"/>
    </xf>
    <xf numFmtId="3" fontId="15" fillId="4" borderId="34" xfId="6" applyNumberFormat="1" applyFont="1" applyFill="1" applyBorder="1" applyAlignment="1">
      <alignment horizontal="center" vertical="center"/>
    </xf>
    <xf numFmtId="3" fontId="13" fillId="4" borderId="2" xfId="6" applyNumberFormat="1" applyFont="1" applyFill="1" applyBorder="1" applyAlignment="1">
      <alignment horizontal="center" vertical="center"/>
    </xf>
    <xf numFmtId="0" fontId="10" fillId="0" borderId="15" xfId="6" applyFont="1" applyBorder="1"/>
    <xf numFmtId="0" fontId="15" fillId="4" borderId="35" xfId="6" applyFont="1" applyFill="1" applyBorder="1" applyAlignment="1">
      <alignment horizontal="center" vertical="center"/>
    </xf>
    <xf numFmtId="0" fontId="10" fillId="0" borderId="34" xfId="6" applyFont="1" applyBorder="1"/>
    <xf numFmtId="3" fontId="13" fillId="4" borderId="0" xfId="6" applyNumberFormat="1" applyFont="1" applyFill="1" applyAlignment="1">
      <alignment horizontal="center" vertical="center"/>
    </xf>
    <xf numFmtId="4" fontId="15" fillId="4" borderId="15" xfId="6" applyNumberFormat="1" applyFont="1" applyFill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167" fontId="13" fillId="0" borderId="0" xfId="4" applyNumberFormat="1" applyFont="1" applyBorder="1" applyAlignment="1">
      <alignment horizontal="center" vertical="center"/>
    </xf>
    <xf numFmtId="0" fontId="15" fillId="4" borderId="39" xfId="6" applyFont="1" applyFill="1" applyBorder="1" applyAlignment="1">
      <alignment horizontal="center" vertical="center"/>
    </xf>
    <xf numFmtId="0" fontId="15" fillId="4" borderId="24" xfId="6" applyFont="1" applyFill="1" applyBorder="1" applyAlignment="1">
      <alignment horizontal="center" vertical="center"/>
    </xf>
    <xf numFmtId="3" fontId="15" fillId="4" borderId="24" xfId="6" applyNumberFormat="1" applyFont="1" applyFill="1" applyBorder="1" applyAlignment="1">
      <alignment horizontal="center" vertical="center"/>
    </xf>
    <xf numFmtId="3" fontId="15" fillId="4" borderId="38" xfId="6" applyNumberFormat="1" applyFont="1" applyFill="1" applyBorder="1" applyAlignment="1">
      <alignment horizontal="center" vertical="center"/>
    </xf>
    <xf numFmtId="3" fontId="15" fillId="0" borderId="24" xfId="6" applyNumberFormat="1" applyFont="1" applyBorder="1" applyAlignment="1">
      <alignment horizontal="center" vertical="center"/>
    </xf>
    <xf numFmtId="4" fontId="15" fillId="4" borderId="24" xfId="6" applyNumberFormat="1" applyFont="1" applyFill="1" applyBorder="1" applyAlignment="1">
      <alignment horizontal="center" vertical="center"/>
    </xf>
    <xf numFmtId="0" fontId="15" fillId="4" borderId="36" xfId="6" applyFont="1" applyFill="1" applyBorder="1" applyAlignment="1">
      <alignment horizontal="center" vertical="center"/>
    </xf>
    <xf numFmtId="0" fontId="10" fillId="0" borderId="25" xfId="6" applyFont="1" applyBorder="1"/>
    <xf numFmtId="0" fontId="10" fillId="0" borderId="46" xfId="6" applyFont="1" applyBorder="1"/>
    <xf numFmtId="3" fontId="15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right" vertical="center"/>
    </xf>
    <xf numFmtId="1" fontId="15" fillId="0" borderId="0" xfId="6" applyNumberFormat="1" applyFont="1" applyAlignment="1">
      <alignment horizontal="center" vertical="center"/>
    </xf>
    <xf numFmtId="3" fontId="15" fillId="0" borderId="35" xfId="0" applyNumberFormat="1" applyFont="1" applyBorder="1" applyAlignment="1">
      <alignment horizontal="center" readingOrder="2"/>
    </xf>
    <xf numFmtId="3" fontId="15" fillId="0" borderId="34" xfId="0" applyNumberFormat="1" applyFont="1" applyBorder="1" applyAlignment="1">
      <alignment horizontal="center" readingOrder="2"/>
    </xf>
    <xf numFmtId="0" fontId="15" fillId="0" borderId="35" xfId="2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/>
    </xf>
    <xf numFmtId="4" fontId="15" fillId="0" borderId="34" xfId="6" applyNumberFormat="1" applyFont="1" applyBorder="1" applyAlignment="1">
      <alignment horizontal="center" vertical="center"/>
    </xf>
    <xf numFmtId="1" fontId="15" fillId="0" borderId="34" xfId="6" applyNumberFormat="1" applyFont="1" applyBorder="1" applyAlignment="1">
      <alignment horizontal="center" vertical="center"/>
    </xf>
    <xf numFmtId="3" fontId="15" fillId="0" borderId="34" xfId="6" applyNumberFormat="1" applyFont="1" applyBorder="1" applyAlignment="1">
      <alignment horizontal="center" vertical="center"/>
    </xf>
    <xf numFmtId="0" fontId="13" fillId="0" borderId="13" xfId="6" applyFont="1" applyBorder="1" applyAlignment="1">
      <alignment horizontal="center" vertical="center"/>
    </xf>
    <xf numFmtId="3" fontId="13" fillId="0" borderId="41" xfId="6" applyNumberFormat="1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/>
    </xf>
    <xf numFmtId="3" fontId="15" fillId="4" borderId="35" xfId="6" applyNumberFormat="1" applyFont="1" applyFill="1" applyBorder="1" applyAlignment="1">
      <alignment horizontal="center" vertical="center"/>
    </xf>
    <xf numFmtId="3" fontId="13" fillId="4" borderId="13" xfId="6" applyNumberFormat="1" applyFont="1" applyFill="1" applyBorder="1" applyAlignment="1">
      <alignment horizontal="center" vertical="center"/>
    </xf>
    <xf numFmtId="3" fontId="13" fillId="4" borderId="41" xfId="6" applyNumberFormat="1" applyFont="1" applyFill="1" applyBorder="1" applyAlignment="1">
      <alignment horizontal="center" vertical="center"/>
    </xf>
    <xf numFmtId="0" fontId="7" fillId="0" borderId="15" xfId="3" applyFont="1" applyBorder="1"/>
    <xf numFmtId="0" fontId="15" fillId="0" borderId="35" xfId="2" applyFont="1" applyBorder="1" applyAlignment="1">
      <alignment horizontal="center"/>
    </xf>
    <xf numFmtId="3" fontId="15" fillId="0" borderId="15" xfId="2" applyNumberFormat="1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3" fontId="15" fillId="4" borderId="41" xfId="6" applyNumberFormat="1" applyFont="1" applyFill="1" applyBorder="1" applyAlignment="1">
      <alignment horizontal="center" vertical="center"/>
    </xf>
    <xf numFmtId="3" fontId="15" fillId="4" borderId="25" xfId="6" applyNumberFormat="1" applyFont="1" applyFill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3" fontId="13" fillId="0" borderId="15" xfId="1" applyNumberFormat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3" fontId="15" fillId="0" borderId="34" xfId="3" applyNumberFormat="1" applyFont="1" applyBorder="1" applyAlignment="1">
      <alignment horizontal="center" vertical="center" wrapText="1"/>
    </xf>
    <xf numFmtId="165" fontId="15" fillId="0" borderId="34" xfId="3" applyNumberFormat="1" applyFont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 wrapText="1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/>
    </xf>
    <xf numFmtId="0" fontId="13" fillId="3" borderId="34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/>
    </xf>
    <xf numFmtId="0" fontId="13" fillId="3" borderId="8" xfId="6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/>
    </xf>
    <xf numFmtId="0" fontId="13" fillId="3" borderId="14" xfId="2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3" fillId="3" borderId="15" xfId="2" applyFont="1" applyFill="1" applyBorder="1" applyAlignment="1">
      <alignment horizontal="center"/>
    </xf>
    <xf numFmtId="0" fontId="16" fillId="3" borderId="15" xfId="3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41" xfId="6" applyNumberFormat="1" applyFont="1" applyFill="1" applyBorder="1" applyAlignment="1">
      <alignment horizontal="center" vertical="center"/>
    </xf>
    <xf numFmtId="0" fontId="13" fillId="6" borderId="13" xfId="2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 vertical="center"/>
    </xf>
    <xf numFmtId="9" fontId="13" fillId="6" borderId="31" xfId="1" applyNumberFormat="1" applyFont="1" applyFill="1" applyBorder="1" applyAlignment="1">
      <alignment horizontal="center" vertical="center"/>
    </xf>
    <xf numFmtId="3" fontId="13" fillId="6" borderId="41" xfId="2" applyNumberFormat="1" applyFont="1" applyFill="1" applyBorder="1" applyAlignment="1">
      <alignment horizontal="center" vertical="center"/>
    </xf>
    <xf numFmtId="3" fontId="13" fillId="6" borderId="31" xfId="2" applyNumberFormat="1" applyFont="1" applyFill="1" applyBorder="1" applyAlignment="1">
      <alignment horizontal="center"/>
    </xf>
    <xf numFmtId="1" fontId="13" fillId="6" borderId="31" xfId="2" applyNumberFormat="1" applyFont="1" applyFill="1" applyBorder="1" applyAlignment="1">
      <alignment horizontal="center"/>
    </xf>
    <xf numFmtId="3" fontId="13" fillId="6" borderId="41" xfId="2" applyNumberFormat="1" applyFont="1" applyFill="1" applyBorder="1" applyAlignment="1">
      <alignment horizontal="center"/>
    </xf>
    <xf numFmtId="3" fontId="13" fillId="6" borderId="6" xfId="2" applyNumberFormat="1" applyFont="1" applyFill="1" applyBorder="1" applyAlignment="1">
      <alignment horizontal="center"/>
    </xf>
    <xf numFmtId="0" fontId="13" fillId="6" borderId="2" xfId="2" applyFont="1" applyFill="1" applyBorder="1" applyAlignment="1">
      <alignment horizontal="center"/>
    </xf>
    <xf numFmtId="3" fontId="13" fillId="6" borderId="14" xfId="2" applyNumberFormat="1" applyFont="1" applyFill="1" applyBorder="1" applyAlignment="1">
      <alignment horizontal="center"/>
    </xf>
    <xf numFmtId="0" fontId="13" fillId="6" borderId="45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/>
    </xf>
    <xf numFmtId="0" fontId="13" fillId="6" borderId="13" xfId="6" applyFont="1" applyFill="1" applyBorder="1" applyAlignment="1">
      <alignment horizontal="center" vertical="center"/>
    </xf>
    <xf numFmtId="1" fontId="13" fillId="6" borderId="41" xfId="6" applyNumberFormat="1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6" borderId="13" xfId="3" applyFont="1" applyFill="1" applyBorder="1" applyAlignment="1">
      <alignment horizontal="center" vertical="center" wrapText="1"/>
    </xf>
    <xf numFmtId="171" fontId="13" fillId="6" borderId="41" xfId="3" applyNumberFormat="1" applyFont="1" applyFill="1" applyBorder="1" applyAlignment="1">
      <alignment horizontal="center" vertical="center" wrapText="1"/>
    </xf>
    <xf numFmtId="3" fontId="13" fillId="6" borderId="31" xfId="0" applyNumberFormat="1" applyFont="1" applyFill="1" applyBorder="1" applyAlignment="1">
      <alignment horizontal="center" readingOrder="2"/>
    </xf>
    <xf numFmtId="3" fontId="13" fillId="6" borderId="41" xfId="0" applyNumberFormat="1" applyFont="1" applyFill="1" applyBorder="1" applyAlignment="1">
      <alignment horizontal="center" readingOrder="2"/>
    </xf>
    <xf numFmtId="3" fontId="15" fillId="6" borderId="11" xfId="6" applyNumberFormat="1" applyFont="1" applyFill="1" applyBorder="1" applyAlignment="1">
      <alignment horizontal="center" vertical="center"/>
    </xf>
    <xf numFmtId="0" fontId="15" fillId="6" borderId="11" xfId="6" applyFont="1" applyFill="1" applyBorder="1" applyAlignment="1">
      <alignment horizontal="right" vertical="center"/>
    </xf>
    <xf numFmtId="0" fontId="15" fillId="3" borderId="4" xfId="6" applyFont="1" applyFill="1" applyBorder="1" applyAlignment="1">
      <alignment horizontal="center" vertical="center"/>
    </xf>
    <xf numFmtId="0" fontId="15" fillId="3" borderId="10" xfId="6" applyFont="1" applyFill="1" applyBorder="1" applyAlignment="1">
      <alignment horizontal="center" vertical="center"/>
    </xf>
    <xf numFmtId="0" fontId="15" fillId="3" borderId="3" xfId="6" applyFont="1" applyFill="1" applyBorder="1" applyAlignment="1">
      <alignment horizontal="center" vertical="center"/>
    </xf>
    <xf numFmtId="0" fontId="15" fillId="0" borderId="15" xfId="0" applyFont="1" applyBorder="1" applyAlignment="1">
      <alignment horizontal="right" readingOrder="2"/>
    </xf>
    <xf numFmtId="0" fontId="15" fillId="0" borderId="15" xfId="0" applyFont="1" applyBorder="1" applyAlignment="1">
      <alignment horizontal="right" vertical="center" readingOrder="2"/>
    </xf>
    <xf numFmtId="0" fontId="15" fillId="0" borderId="15" xfId="0" applyFont="1" applyBorder="1" applyAlignment="1">
      <alignment readingOrder="2"/>
    </xf>
    <xf numFmtId="0" fontId="15" fillId="0" borderId="35" xfId="0" applyFont="1" applyBorder="1" applyAlignment="1">
      <alignment horizontal="center" vertical="center" readingOrder="2"/>
    </xf>
    <xf numFmtId="1" fontId="13" fillId="3" borderId="15" xfId="0" applyNumberFormat="1" applyFont="1" applyFill="1" applyBorder="1" applyAlignment="1">
      <alignment horizontal="center" vertical="center" readingOrder="2"/>
    </xf>
    <xf numFmtId="1" fontId="13" fillId="3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center" readingOrder="2"/>
    </xf>
    <xf numFmtId="3" fontId="13" fillId="6" borderId="15" xfId="0" applyNumberFormat="1" applyFont="1" applyFill="1" applyBorder="1" applyAlignment="1">
      <alignment horizontal="center" readingOrder="2"/>
    </xf>
    <xf numFmtId="3" fontId="13" fillId="6" borderId="34" xfId="0" applyNumberFormat="1" applyFont="1" applyFill="1" applyBorder="1" applyAlignment="1">
      <alignment horizontal="center" readingOrder="2"/>
    </xf>
    <xf numFmtId="3" fontId="15" fillId="6" borderId="31" xfId="0" applyNumberFormat="1" applyFont="1" applyFill="1" applyBorder="1" applyAlignment="1">
      <alignment horizontal="center" readingOrder="2"/>
    </xf>
    <xf numFmtId="3" fontId="15" fillId="6" borderId="41" xfId="0" applyNumberFormat="1" applyFont="1" applyFill="1" applyBorder="1" applyAlignment="1">
      <alignment horizontal="center" readingOrder="2"/>
    </xf>
    <xf numFmtId="3" fontId="13" fillId="6" borderId="14" xfId="6" applyNumberFormat="1" applyFont="1" applyFill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167" fontId="13" fillId="0" borderId="34" xfId="4" applyNumberFormat="1" applyFont="1" applyFill="1" applyBorder="1" applyAlignment="1">
      <alignment horizontal="center" vertical="center" readingOrder="2"/>
    </xf>
    <xf numFmtId="0" fontId="15" fillId="0" borderId="35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0" borderId="34" xfId="1" applyFont="1" applyBorder="1" applyAlignment="1">
      <alignment horizontal="center"/>
    </xf>
    <xf numFmtId="9" fontId="15" fillId="0" borderId="15" xfId="1" applyNumberFormat="1" applyFont="1" applyBorder="1" applyAlignment="1">
      <alignment horizontal="center"/>
    </xf>
    <xf numFmtId="0" fontId="15" fillId="0" borderId="35" xfId="1" applyFont="1" applyBorder="1" applyAlignment="1">
      <alignment horizontal="center" vertical="center"/>
    </xf>
    <xf numFmtId="2" fontId="15" fillId="0" borderId="15" xfId="1" applyNumberFormat="1" applyFont="1" applyBorder="1" applyAlignment="1">
      <alignment horizontal="center"/>
    </xf>
    <xf numFmtId="167" fontId="15" fillId="0" borderId="34" xfId="4" applyNumberFormat="1" applyFont="1" applyFill="1" applyBorder="1" applyAlignment="1">
      <alignment horizontal="center" vertical="center" readingOrder="2"/>
    </xf>
    <xf numFmtId="4" fontId="15" fillId="0" borderId="15" xfId="1" applyNumberFormat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167" fontId="15" fillId="0" borderId="41" xfId="4" applyNumberFormat="1" applyFont="1" applyFill="1" applyBorder="1" applyAlignment="1">
      <alignment horizontal="center" vertical="center" readingOrder="2"/>
    </xf>
    <xf numFmtId="3" fontId="15" fillId="0" borderId="15" xfId="1" applyNumberFormat="1" applyFont="1" applyBorder="1" applyAlignment="1">
      <alignment horizontal="center" vertical="center"/>
    </xf>
    <xf numFmtId="9" fontId="15" fillId="0" borderId="15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/>
    </xf>
    <xf numFmtId="0" fontId="15" fillId="6" borderId="13" xfId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/>
    </xf>
    <xf numFmtId="4" fontId="15" fillId="6" borderId="31" xfId="1" applyNumberFormat="1" applyFont="1" applyFill="1" applyBorder="1" applyAlignment="1">
      <alignment horizontal="center" vertical="center"/>
    </xf>
    <xf numFmtId="167" fontId="15" fillId="6" borderId="41" xfId="4" applyNumberFormat="1" applyFont="1" applyFill="1" applyBorder="1" applyAlignment="1">
      <alignment horizontal="center" vertical="center" readingOrder="2"/>
    </xf>
    <xf numFmtId="0" fontId="15" fillId="6" borderId="35" xfId="1" applyFont="1" applyFill="1" applyBorder="1" applyAlignment="1">
      <alignment horizontal="center" vertical="center"/>
    </xf>
    <xf numFmtId="0" fontId="15" fillId="6" borderId="15" xfId="1" applyFont="1" applyFill="1" applyBorder="1" applyAlignment="1">
      <alignment horizontal="center"/>
    </xf>
    <xf numFmtId="4" fontId="15" fillId="6" borderId="15" xfId="1" applyNumberFormat="1" applyFont="1" applyFill="1" applyBorder="1" applyAlignment="1">
      <alignment horizontal="center" vertical="center"/>
    </xf>
    <xf numFmtId="167" fontId="15" fillId="6" borderId="34" xfId="4" applyNumberFormat="1" applyFont="1" applyFill="1" applyBorder="1" applyAlignment="1">
      <alignment horizontal="center" vertical="center" readingOrder="2"/>
    </xf>
    <xf numFmtId="0" fontId="15" fillId="6" borderId="15" xfId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/>
    </xf>
    <xf numFmtId="0" fontId="13" fillId="6" borderId="13" xfId="1" applyFont="1" applyFill="1" applyBorder="1" applyAlignment="1">
      <alignment horizontal="center" vertical="center"/>
    </xf>
    <xf numFmtId="0" fontId="13" fillId="6" borderId="31" xfId="1" applyFont="1" applyFill="1" applyBorder="1" applyAlignment="1">
      <alignment horizontal="center" vertical="center"/>
    </xf>
    <xf numFmtId="1" fontId="15" fillId="6" borderId="31" xfId="1" applyNumberFormat="1" applyFont="1" applyFill="1" applyBorder="1" applyAlignment="1">
      <alignment horizontal="center"/>
    </xf>
    <xf numFmtId="167" fontId="13" fillId="6" borderId="41" xfId="4" applyNumberFormat="1" applyFont="1" applyFill="1" applyBorder="1" applyAlignment="1">
      <alignment horizontal="center" vertical="center" readingOrder="2"/>
    </xf>
    <xf numFmtId="0" fontId="13" fillId="6" borderId="35" xfId="1" applyFont="1" applyFill="1" applyBorder="1" applyAlignment="1">
      <alignment horizontal="center" vertical="center"/>
    </xf>
    <xf numFmtId="0" fontId="13" fillId="6" borderId="15" xfId="1" applyFont="1" applyFill="1" applyBorder="1" applyAlignment="1">
      <alignment horizontal="center" vertical="center"/>
    </xf>
    <xf numFmtId="167" fontId="13" fillId="6" borderId="34" xfId="4" applyNumberFormat="1" applyFont="1" applyFill="1" applyBorder="1" applyAlignment="1">
      <alignment horizontal="center" vertical="center" readingOrder="2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171" fontId="15" fillId="0" borderId="15" xfId="1" applyNumberFormat="1" applyFont="1" applyBorder="1" applyAlignment="1">
      <alignment horizontal="center" vertical="center"/>
    </xf>
    <xf numFmtId="10" fontId="15" fillId="0" borderId="13" xfId="1" applyNumberFormat="1" applyFont="1" applyBorder="1" applyAlignment="1">
      <alignment horizontal="center" vertical="center"/>
    </xf>
    <xf numFmtId="10" fontId="15" fillId="0" borderId="31" xfId="1" applyNumberFormat="1" applyFont="1" applyBorder="1" applyAlignment="1">
      <alignment horizontal="center" vertical="center"/>
    </xf>
    <xf numFmtId="10" fontId="15" fillId="0" borderId="41" xfId="1" applyNumberFormat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/>
    </xf>
    <xf numFmtId="0" fontId="22" fillId="0" borderId="15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13" fillId="3" borderId="15" xfId="0" applyFont="1" applyFill="1" applyBorder="1" applyAlignment="1">
      <alignment horizont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3" borderId="37" xfId="0" applyFont="1" applyFill="1" applyBorder="1" applyAlignment="1">
      <alignment horizontal="center" vertical="center" readingOrder="2"/>
    </xf>
    <xf numFmtId="0" fontId="17" fillId="0" borderId="15" xfId="0" applyFont="1" applyBorder="1" applyAlignment="1">
      <alignment readingOrder="2"/>
    </xf>
    <xf numFmtId="169" fontId="17" fillId="0" borderId="15" xfId="0" applyNumberFormat="1" applyFont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readingOrder="2"/>
    </xf>
    <xf numFmtId="3" fontId="17" fillId="6" borderId="15" xfId="0" applyNumberFormat="1" applyFont="1" applyFill="1" applyBorder="1" applyAlignment="1">
      <alignment horizontal="center" vertical="center" wrapText="1" readingOrder="2"/>
    </xf>
    <xf numFmtId="3" fontId="17" fillId="6" borderId="15" xfId="4" applyNumberFormat="1" applyFont="1" applyFill="1" applyBorder="1" applyAlignment="1">
      <alignment horizontal="center" vertical="center" readingOrder="2"/>
    </xf>
    <xf numFmtId="10" fontId="13" fillId="3" borderId="15" xfId="1" applyNumberFormat="1" applyFont="1" applyFill="1" applyBorder="1" applyAlignment="1">
      <alignment horizontal="center" vertical="center"/>
    </xf>
    <xf numFmtId="10" fontId="13" fillId="3" borderId="35" xfId="1" applyNumberFormat="1" applyFont="1" applyFill="1" applyBorder="1" applyAlignment="1">
      <alignment horizontal="center" vertical="center"/>
    </xf>
    <xf numFmtId="10" fontId="13" fillId="3" borderId="34" xfId="1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right" vertical="center" wrapText="1" readingOrder="2"/>
    </xf>
    <xf numFmtId="0" fontId="16" fillId="0" borderId="15" xfId="0" applyFont="1" applyBorder="1" applyAlignment="1">
      <alignment horizontal="center" vertical="center"/>
    </xf>
    <xf numFmtId="49" fontId="13" fillId="6" borderId="35" xfId="0" applyNumberFormat="1" applyFont="1" applyFill="1" applyBorder="1" applyAlignment="1">
      <alignment horizontal="center" vertical="center" readingOrder="2"/>
    </xf>
    <xf numFmtId="0" fontId="13" fillId="6" borderId="35" xfId="0" applyFont="1" applyFill="1" applyBorder="1" applyAlignment="1">
      <alignment horizontal="center" vertical="center" readingOrder="2"/>
    </xf>
    <xf numFmtId="3" fontId="13" fillId="3" borderId="15" xfId="0" applyNumberFormat="1" applyFont="1" applyFill="1" applyBorder="1" applyAlignment="1">
      <alignment horizontal="center" vertical="center" wrapText="1" readingOrder="2"/>
    </xf>
    <xf numFmtId="3" fontId="17" fillId="6" borderId="34" xfId="0" applyNumberFormat="1" applyFont="1" applyFill="1" applyBorder="1" applyAlignment="1">
      <alignment horizontal="center" vertical="center" readingOrder="2"/>
    </xf>
    <xf numFmtId="0" fontId="15" fillId="4" borderId="15" xfId="0" applyFont="1" applyFill="1" applyBorder="1" applyAlignment="1">
      <alignment horizontal="right" vertical="center" wrapText="1" readingOrder="2"/>
    </xf>
    <xf numFmtId="3" fontId="18" fillId="2" borderId="34" xfId="0" applyNumberFormat="1" applyFont="1" applyFill="1" applyBorder="1" applyAlignment="1">
      <alignment horizontal="center" vertical="center" readingOrder="2"/>
    </xf>
    <xf numFmtId="0" fontId="13" fillId="6" borderId="15" xfId="0" applyFont="1" applyFill="1" applyBorder="1" applyAlignment="1">
      <alignment horizontal="justify" vertical="center" wrapText="1" readingOrder="2"/>
    </xf>
    <xf numFmtId="3" fontId="13" fillId="6" borderId="15" xfId="0" applyNumberFormat="1" applyFont="1" applyFill="1" applyBorder="1" applyAlignment="1">
      <alignment horizontal="center" vertical="center" readingOrder="2"/>
    </xf>
    <xf numFmtId="3" fontId="13" fillId="6" borderId="34" xfId="0" applyNumberFormat="1" applyFont="1" applyFill="1" applyBorder="1" applyAlignment="1">
      <alignment horizontal="center" vertical="center" readingOrder="2"/>
    </xf>
    <xf numFmtId="3" fontId="13" fillId="6" borderId="31" xfId="0" applyNumberFormat="1" applyFont="1" applyFill="1" applyBorder="1" applyAlignment="1">
      <alignment horizontal="center" vertical="center" readingOrder="2"/>
    </xf>
    <xf numFmtId="3" fontId="13" fillId="6" borderId="41" xfId="0" applyNumberFormat="1" applyFont="1" applyFill="1" applyBorder="1" applyAlignment="1">
      <alignment horizontal="center" vertical="center" readingOrder="2"/>
    </xf>
    <xf numFmtId="49" fontId="15" fillId="0" borderId="35" xfId="0" applyNumberFormat="1" applyFont="1" applyBorder="1" applyAlignment="1">
      <alignment horizontal="center" vertical="center" readingOrder="2"/>
    </xf>
    <xf numFmtId="0" fontId="15" fillId="0" borderId="15" xfId="0" applyFont="1" applyBorder="1" applyAlignment="1">
      <alignment horizontal="right" vertical="center" wrapText="1" readingOrder="2"/>
    </xf>
    <xf numFmtId="0" fontId="7" fillId="0" borderId="34" xfId="0" applyFont="1" applyBorder="1" applyAlignment="1">
      <alignment horizontal="center" vertical="center"/>
    </xf>
    <xf numFmtId="0" fontId="7" fillId="6" borderId="41" xfId="0" applyFont="1" applyFill="1" applyBorder="1"/>
    <xf numFmtId="0" fontId="15" fillId="0" borderId="35" xfId="6" applyFont="1" applyBorder="1" applyAlignment="1">
      <alignment horizontal="center" vertical="center"/>
    </xf>
    <xf numFmtId="0" fontId="15" fillId="0" borderId="15" xfId="6" applyFont="1" applyBorder="1" applyAlignment="1">
      <alignment horizontal="center" vertical="center"/>
    </xf>
    <xf numFmtId="0" fontId="15" fillId="4" borderId="13" xfId="6" applyFont="1" applyFill="1" applyBorder="1" applyAlignment="1">
      <alignment horizontal="center" vertical="center"/>
    </xf>
    <xf numFmtId="3" fontId="15" fillId="4" borderId="31" xfId="6" applyNumberFormat="1" applyFont="1" applyFill="1" applyBorder="1" applyAlignment="1">
      <alignment horizontal="center" vertical="center"/>
    </xf>
    <xf numFmtId="0" fontId="15" fillId="6" borderId="13" xfId="6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right" vertical="top" wrapText="1" indent="1" readingOrder="2"/>
    </xf>
    <xf numFmtId="3" fontId="15" fillId="6" borderId="31" xfId="6" applyNumberFormat="1" applyFont="1" applyFill="1" applyBorder="1" applyAlignment="1">
      <alignment horizontal="center" vertical="center"/>
    </xf>
    <xf numFmtId="0" fontId="15" fillId="4" borderId="15" xfId="6" applyFont="1" applyFill="1" applyBorder="1" applyAlignment="1">
      <alignment horizontal="center" vertical="center" readingOrder="1"/>
    </xf>
    <xf numFmtId="0" fontId="15" fillId="4" borderId="15" xfId="6" applyFont="1" applyFill="1" applyBorder="1" applyAlignment="1">
      <alignment horizontal="center" vertical="center" readingOrder="2"/>
    </xf>
    <xf numFmtId="0" fontId="15" fillId="4" borderId="31" xfId="6" applyFont="1" applyFill="1" applyBorder="1" applyAlignment="1">
      <alignment horizontal="center" vertical="center" readingOrder="1"/>
    </xf>
    <xf numFmtId="3" fontId="13" fillId="6" borderId="6" xfId="6" applyNumberFormat="1" applyFont="1" applyFill="1" applyBorder="1" applyAlignment="1">
      <alignment horizontal="center" vertical="center"/>
    </xf>
    <xf numFmtId="49" fontId="15" fillId="2" borderId="35" xfId="0" applyNumberFormat="1" applyFont="1" applyFill="1" applyBorder="1" applyAlignment="1">
      <alignment horizontal="center" vertical="center" readingOrder="2"/>
    </xf>
    <xf numFmtId="2" fontId="15" fillId="0" borderId="15" xfId="1" applyNumberFormat="1" applyFont="1" applyBorder="1" applyAlignment="1">
      <alignment horizontal="center" vertical="center"/>
    </xf>
    <xf numFmtId="1" fontId="15" fillId="0" borderId="31" xfId="1" applyNumberFormat="1" applyFont="1" applyBorder="1" applyAlignment="1">
      <alignment horizontal="center" vertical="center"/>
    </xf>
    <xf numFmtId="3" fontId="15" fillId="0" borderId="15" xfId="3" applyNumberFormat="1" applyFont="1" applyBorder="1" applyAlignment="1">
      <alignment horizontal="center" vertical="center" readingOrder="2"/>
    </xf>
    <xf numFmtId="9" fontId="15" fillId="0" borderId="15" xfId="8" applyFont="1" applyFill="1" applyBorder="1" applyAlignment="1">
      <alignment horizontal="center" vertical="center" readingOrder="2"/>
    </xf>
    <xf numFmtId="167" fontId="7" fillId="0" borderId="15" xfId="7" applyNumberFormat="1" applyFont="1" applyBorder="1"/>
    <xf numFmtId="0" fontId="13" fillId="0" borderId="35" xfId="3" applyFont="1" applyBorder="1" applyAlignment="1">
      <alignment horizontal="center" readingOrder="2"/>
    </xf>
    <xf numFmtId="0" fontId="7" fillId="0" borderId="34" xfId="3" applyFont="1" applyBorder="1"/>
    <xf numFmtId="0" fontId="15" fillId="0" borderId="35" xfId="3" applyFont="1" applyBorder="1" applyAlignment="1">
      <alignment horizontal="right" readingOrder="2"/>
    </xf>
    <xf numFmtId="3" fontId="13" fillId="3" borderId="44" xfId="3" applyNumberFormat="1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1" fontId="13" fillId="3" borderId="15" xfId="3" applyNumberFormat="1" applyFont="1" applyFill="1" applyBorder="1" applyAlignment="1">
      <alignment horizontal="center" vertical="center" readingOrder="2"/>
    </xf>
    <xf numFmtId="1" fontId="13" fillId="3" borderId="34" xfId="3" applyNumberFormat="1" applyFont="1" applyFill="1" applyBorder="1" applyAlignment="1">
      <alignment horizontal="center" vertical="center" readingOrder="2"/>
    </xf>
    <xf numFmtId="0" fontId="13" fillId="3" borderId="15" xfId="3" applyFont="1" applyFill="1" applyBorder="1" applyAlignment="1">
      <alignment horizontal="center" vertical="center" readingOrder="2"/>
    </xf>
    <xf numFmtId="167" fontId="7" fillId="6" borderId="15" xfId="7" applyNumberFormat="1" applyFont="1" applyFill="1" applyBorder="1"/>
    <xf numFmtId="167" fontId="7" fillId="6" borderId="34" xfId="7" applyNumberFormat="1" applyFont="1" applyFill="1" applyBorder="1"/>
    <xf numFmtId="9" fontId="16" fillId="6" borderId="31" xfId="8" applyFont="1" applyFill="1" applyBorder="1"/>
    <xf numFmtId="9" fontId="16" fillId="6" borderId="41" xfId="8" applyFont="1" applyFill="1" applyBorder="1"/>
    <xf numFmtId="43" fontId="15" fillId="2" borderId="15" xfId="4" applyFont="1" applyFill="1" applyBorder="1" applyAlignment="1">
      <alignment horizontal="center" vertical="center" readingOrder="2"/>
    </xf>
    <xf numFmtId="0" fontId="13" fillId="2" borderId="35" xfId="3" applyFont="1" applyFill="1" applyBorder="1" applyAlignment="1">
      <alignment vertical="center" readingOrder="2"/>
    </xf>
    <xf numFmtId="43" fontId="15" fillId="2" borderId="34" xfId="4" applyFont="1" applyFill="1" applyBorder="1" applyAlignment="1">
      <alignment horizontal="center" vertical="center" readingOrder="2"/>
    </xf>
    <xf numFmtId="0" fontId="15" fillId="2" borderId="35" xfId="3" applyFont="1" applyFill="1" applyBorder="1" applyAlignment="1">
      <alignment vertical="center" readingOrder="2"/>
    </xf>
    <xf numFmtId="0" fontId="13" fillId="3" borderId="44" xfId="3" applyFont="1" applyFill="1" applyBorder="1" applyAlignment="1">
      <alignment horizontal="center" vertical="center" readingOrder="2"/>
    </xf>
    <xf numFmtId="0" fontId="13" fillId="6" borderId="35" xfId="3" applyFont="1" applyFill="1" applyBorder="1" applyAlignment="1">
      <alignment vertical="center" readingOrder="2"/>
    </xf>
    <xf numFmtId="43" fontId="15" fillId="6" borderId="15" xfId="4" applyFont="1" applyFill="1" applyBorder="1" applyAlignment="1">
      <alignment horizontal="center" vertical="center" readingOrder="2"/>
    </xf>
    <xf numFmtId="43" fontId="15" fillId="6" borderId="34" xfId="4" applyFont="1" applyFill="1" applyBorder="1" applyAlignment="1">
      <alignment horizontal="center" vertical="center" readingOrder="2"/>
    </xf>
    <xf numFmtId="43" fontId="13" fillId="6" borderId="15" xfId="4" applyFont="1" applyFill="1" applyBorder="1" applyAlignment="1">
      <alignment horizontal="center" vertical="center" readingOrder="2"/>
    </xf>
    <xf numFmtId="43" fontId="13" fillId="6" borderId="34" xfId="4" applyFont="1" applyFill="1" applyBorder="1" applyAlignment="1">
      <alignment horizontal="center" vertical="center" readingOrder="2"/>
    </xf>
    <xf numFmtId="0" fontId="13" fillId="6" borderId="13" xfId="3" applyFont="1" applyFill="1" applyBorder="1" applyAlignment="1">
      <alignment vertical="center" readingOrder="2"/>
    </xf>
    <xf numFmtId="43" fontId="13" fillId="6" borderId="31" xfId="4" applyFont="1" applyFill="1" applyBorder="1" applyAlignment="1">
      <alignment horizontal="center" vertical="center" readingOrder="2"/>
    </xf>
    <xf numFmtId="43" fontId="13" fillId="6" borderId="41" xfId="4" applyFont="1" applyFill="1" applyBorder="1" applyAlignment="1">
      <alignment horizontal="center" vertical="center" readingOrder="2"/>
    </xf>
    <xf numFmtId="38" fontId="13" fillId="6" borderId="15" xfId="3" applyNumberFormat="1" applyFont="1" applyFill="1" applyBorder="1" applyAlignment="1">
      <alignment horizontal="center" vertical="center" readingOrder="2"/>
    </xf>
    <xf numFmtId="3" fontId="13" fillId="2" borderId="15" xfId="3" applyNumberFormat="1" applyFont="1" applyFill="1" applyBorder="1" applyAlignment="1">
      <alignment horizontal="center" vertical="center" readingOrder="2"/>
    </xf>
    <xf numFmtId="3" fontId="13" fillId="6" borderId="15" xfId="3" applyNumberFormat="1" applyFont="1" applyFill="1" applyBorder="1" applyAlignment="1">
      <alignment horizontal="center" vertical="center" readingOrder="2"/>
    </xf>
    <xf numFmtId="2" fontId="15" fillId="2" borderId="15" xfId="5" applyNumberFormat="1" applyFont="1" applyFill="1" applyBorder="1" applyAlignment="1">
      <alignment vertical="center" readingOrder="2"/>
    </xf>
    <xf numFmtId="0" fontId="13" fillId="2" borderId="35" xfId="10" applyFont="1" applyFill="1" applyBorder="1" applyAlignment="1">
      <alignment horizontal="center" vertical="center" readingOrder="2"/>
    </xf>
    <xf numFmtId="3" fontId="13" fillId="2" borderId="34" xfId="3" applyNumberFormat="1" applyFont="1" applyFill="1" applyBorder="1" applyAlignment="1">
      <alignment horizontal="center" vertical="center" readingOrder="2"/>
    </xf>
    <xf numFmtId="0" fontId="15" fillId="2" borderId="35" xfId="10" applyFont="1" applyFill="1" applyBorder="1" applyAlignment="1">
      <alignment horizontal="center" vertical="center" readingOrder="2"/>
    </xf>
    <xf numFmtId="3" fontId="15" fillId="2" borderId="34" xfId="3" applyNumberFormat="1" applyFont="1" applyFill="1" applyBorder="1" applyAlignment="1">
      <alignment horizontal="center" vertical="center" readingOrder="2"/>
    </xf>
    <xf numFmtId="0" fontId="13" fillId="6" borderId="35" xfId="10" applyFont="1" applyFill="1" applyBorder="1" applyAlignment="1">
      <alignment horizontal="center" vertical="center" readingOrder="2"/>
    </xf>
    <xf numFmtId="3" fontId="13" fillId="6" borderId="34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9" fontId="15" fillId="0" borderId="15" xfId="5" applyFont="1" applyFill="1" applyBorder="1" applyAlignment="1">
      <alignment horizontal="center" vertical="center"/>
    </xf>
    <xf numFmtId="9" fontId="15" fillId="0" borderId="31" xfId="5" applyFont="1" applyFill="1" applyBorder="1" applyAlignment="1">
      <alignment horizontal="center" vertical="center"/>
    </xf>
    <xf numFmtId="9" fontId="15" fillId="0" borderId="31" xfId="1" applyNumberFormat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164" fontId="15" fillId="0" borderId="15" xfId="1" applyNumberFormat="1" applyFont="1" applyBorder="1" applyAlignment="1">
      <alignment horizontal="center" vertical="center"/>
    </xf>
    <xf numFmtId="164" fontId="15" fillId="0" borderId="31" xfId="1" applyNumberFormat="1" applyFont="1" applyBorder="1" applyAlignment="1">
      <alignment horizontal="center" vertical="center"/>
    </xf>
    <xf numFmtId="1" fontId="15" fillId="0" borderId="15" xfId="1" applyNumberFormat="1" applyFont="1" applyBorder="1" applyAlignment="1">
      <alignment horizontal="center" vertical="center"/>
    </xf>
    <xf numFmtId="174" fontId="15" fillId="0" borderId="15" xfId="1" applyNumberFormat="1" applyFont="1" applyBorder="1" applyAlignment="1">
      <alignment horizontal="center"/>
    </xf>
    <xf numFmtId="171" fontId="15" fillId="0" borderId="15" xfId="1" applyNumberFormat="1" applyFont="1" applyBorder="1" applyAlignment="1">
      <alignment horizontal="center"/>
    </xf>
    <xf numFmtId="0" fontId="15" fillId="0" borderId="15" xfId="1" applyFont="1" applyBorder="1" applyAlignment="1">
      <alignment horizontal="right" vertical="center"/>
    </xf>
    <xf numFmtId="0" fontId="15" fillId="0" borderId="13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167" fontId="15" fillId="0" borderId="15" xfId="4" applyNumberFormat="1" applyFont="1" applyFill="1" applyBorder="1" applyAlignment="1">
      <alignment horizontal="center" vertical="center" readingOrder="2"/>
    </xf>
    <xf numFmtId="0" fontId="15" fillId="0" borderId="15" xfId="1" applyFont="1" applyBorder="1"/>
    <xf numFmtId="37" fontId="15" fillId="0" borderId="15" xfId="1" applyNumberFormat="1" applyFont="1" applyBorder="1" applyAlignment="1">
      <alignment horizontal="center"/>
    </xf>
    <xf numFmtId="37" fontId="15" fillId="0" borderId="31" xfId="1" applyNumberFormat="1" applyFont="1" applyBorder="1" applyAlignment="1">
      <alignment horizontal="center"/>
    </xf>
    <xf numFmtId="173" fontId="15" fillId="0" borderId="15" xfId="1" applyNumberFormat="1" applyFont="1" applyBorder="1" applyAlignment="1">
      <alignment horizontal="center"/>
    </xf>
    <xf numFmtId="173" fontId="15" fillId="0" borderId="31" xfId="1" applyNumberFormat="1" applyFont="1" applyBorder="1" applyAlignment="1">
      <alignment horizontal="center"/>
    </xf>
    <xf numFmtId="166" fontId="15" fillId="0" borderId="15" xfId="1" applyNumberFormat="1" applyFont="1" applyBorder="1" applyAlignment="1">
      <alignment horizontal="center" vertical="center"/>
    </xf>
    <xf numFmtId="166" fontId="15" fillId="0" borderId="31" xfId="1" applyNumberFormat="1" applyFont="1" applyBorder="1" applyAlignment="1">
      <alignment horizontal="center" vertical="center"/>
    </xf>
    <xf numFmtId="165" fontId="15" fillId="0" borderId="15" xfId="1" applyNumberFormat="1" applyFont="1" applyBorder="1" applyAlignment="1">
      <alignment horizontal="center" vertical="center"/>
    </xf>
    <xf numFmtId="10" fontId="15" fillId="0" borderId="31" xfId="5" applyNumberFormat="1" applyFont="1" applyFill="1" applyBorder="1" applyAlignment="1">
      <alignment horizontal="center" vertical="center"/>
    </xf>
    <xf numFmtId="172" fontId="15" fillId="0" borderId="15" xfId="1" applyNumberFormat="1" applyFont="1" applyBorder="1" applyAlignment="1">
      <alignment horizontal="center" vertical="center"/>
    </xf>
    <xf numFmtId="0" fontId="13" fillId="6" borderId="35" xfId="0" applyFont="1" applyFill="1" applyBorder="1" applyAlignment="1">
      <alignment horizontal="right" readingOrder="2"/>
    </xf>
    <xf numFmtId="1" fontId="13" fillId="3" borderId="45" xfId="6" applyNumberFormat="1" applyFont="1" applyFill="1" applyBorder="1" applyAlignment="1">
      <alignment horizontal="center" vertical="center"/>
    </xf>
    <xf numFmtId="0" fontId="13" fillId="0" borderId="35" xfId="6" applyFont="1" applyBorder="1" applyAlignment="1">
      <alignment horizontal="center" vertical="center"/>
    </xf>
    <xf numFmtId="1" fontId="13" fillId="0" borderId="34" xfId="6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5" fillId="4" borderId="25" xfId="6" applyFont="1" applyFill="1" applyBorder="1" applyAlignment="1">
      <alignment horizontal="center" vertical="center"/>
    </xf>
    <xf numFmtId="0" fontId="13" fillId="0" borderId="15" xfId="0" applyFont="1" applyBorder="1" applyAlignment="1">
      <alignment horizontal="justify" vertical="center" wrapText="1" readingOrder="2"/>
    </xf>
    <xf numFmtId="3" fontId="13" fillId="0" borderId="15" xfId="0" applyNumberFormat="1" applyFont="1" applyBorder="1" applyAlignment="1">
      <alignment horizontal="center" vertical="center" readingOrder="2"/>
    </xf>
    <xf numFmtId="10" fontId="15" fillId="6" borderId="34" xfId="1" applyNumberFormat="1" applyFont="1" applyFill="1" applyBorder="1" applyAlignment="1">
      <alignment horizontal="center" vertical="center"/>
    </xf>
    <xf numFmtId="0" fontId="15" fillId="6" borderId="31" xfId="1" applyFont="1" applyFill="1" applyBorder="1" applyAlignment="1">
      <alignment horizontal="center" vertical="center"/>
    </xf>
    <xf numFmtId="9" fontId="15" fillId="0" borderId="15" xfId="2" applyNumberFormat="1" applyFont="1" applyBorder="1" applyAlignment="1">
      <alignment horizontal="center"/>
    </xf>
    <xf numFmtId="39" fontId="15" fillId="0" borderId="31" xfId="1" applyNumberFormat="1" applyFont="1" applyBorder="1" applyAlignment="1">
      <alignment horizontal="center"/>
    </xf>
    <xf numFmtId="177" fontId="15" fillId="0" borderId="15" xfId="1" applyNumberFormat="1" applyFont="1" applyBorder="1" applyAlignment="1">
      <alignment horizontal="center"/>
    </xf>
    <xf numFmtId="178" fontId="15" fillId="0" borderId="31" xfId="1" applyNumberFormat="1" applyFont="1" applyBorder="1" applyAlignment="1">
      <alignment horizontal="center"/>
    </xf>
    <xf numFmtId="9" fontId="15" fillId="2" borderId="15" xfId="2" applyNumberFormat="1" applyFont="1" applyFill="1" applyBorder="1" applyAlignment="1">
      <alignment horizontal="center"/>
    </xf>
    <xf numFmtId="0" fontId="7" fillId="0" borderId="34" xfId="0" applyFont="1" applyBorder="1"/>
    <xf numFmtId="0" fontId="7" fillId="0" borderId="34" xfId="0" applyFont="1" applyBorder="1" applyAlignment="1">
      <alignment horizontal="center"/>
    </xf>
    <xf numFmtId="9" fontId="15" fillId="4" borderId="15" xfId="5" applyFont="1" applyFill="1" applyBorder="1" applyAlignment="1">
      <alignment horizontal="center" vertical="center"/>
    </xf>
    <xf numFmtId="0" fontId="7" fillId="6" borderId="41" xfId="0" applyFont="1" applyFill="1" applyBorder="1" applyAlignment="1">
      <alignment horizontal="center" vertical="center"/>
    </xf>
    <xf numFmtId="0" fontId="15" fillId="0" borderId="34" xfId="6" applyFont="1" applyBorder="1" applyAlignment="1">
      <alignment horizontal="center" vertical="center" wrapText="1"/>
    </xf>
    <xf numFmtId="0" fontId="10" fillId="6" borderId="41" xfId="6" applyFont="1" applyFill="1" applyBorder="1"/>
    <xf numFmtId="0" fontId="13" fillId="3" borderId="15" xfId="2" applyFont="1" applyFill="1" applyBorder="1" applyAlignment="1">
      <alignment horizontal="center" vertical="center"/>
    </xf>
    <xf numFmtId="0" fontId="13" fillId="3" borderId="34" xfId="2" applyFont="1" applyFill="1" applyBorder="1" applyAlignment="1">
      <alignment horizontal="center" vertical="center"/>
    </xf>
    <xf numFmtId="164" fontId="15" fillId="0" borderId="15" xfId="2" applyNumberFormat="1" applyFont="1" applyBorder="1" applyAlignment="1">
      <alignment horizontal="center" vertical="center"/>
    </xf>
    <xf numFmtId="3" fontId="15" fillId="0" borderId="34" xfId="2" applyNumberFormat="1" applyFont="1" applyBorder="1" applyAlignment="1">
      <alignment horizontal="center" vertical="center"/>
    </xf>
    <xf numFmtId="1" fontId="13" fillId="6" borderId="31" xfId="2" applyNumberFormat="1" applyFont="1" applyFill="1" applyBorder="1" applyAlignment="1">
      <alignment horizontal="center" vertical="center"/>
    </xf>
    <xf numFmtId="3" fontId="13" fillId="6" borderId="15" xfId="0" applyNumberFormat="1" applyFont="1" applyFill="1" applyBorder="1" applyAlignment="1">
      <alignment horizontal="right" vertical="center" readingOrder="2"/>
    </xf>
    <xf numFmtId="10" fontId="15" fillId="0" borderId="15" xfId="5" applyNumberFormat="1" applyFont="1" applyFill="1" applyBorder="1" applyAlignment="1">
      <alignment horizontal="center" vertical="center"/>
    </xf>
    <xf numFmtId="0" fontId="15" fillId="0" borderId="13" xfId="2" applyFont="1" applyBorder="1" applyAlignment="1">
      <alignment horizontal="center"/>
    </xf>
    <xf numFmtId="0" fontId="13" fillId="3" borderId="35" xfId="2" applyFont="1" applyFill="1" applyBorder="1" applyAlignment="1">
      <alignment horizontal="center"/>
    </xf>
    <xf numFmtId="0" fontId="15" fillId="6" borderId="34" xfId="1" applyFont="1" applyFill="1" applyBorder="1" applyAlignment="1">
      <alignment horizontal="center" vertical="center"/>
    </xf>
    <xf numFmtId="0" fontId="13" fillId="6" borderId="41" xfId="6" applyFont="1" applyFill="1" applyBorder="1" applyAlignment="1">
      <alignment horizontal="center" vertical="center"/>
    </xf>
    <xf numFmtId="0" fontId="15" fillId="0" borderId="13" xfId="6" applyFont="1" applyBorder="1" applyAlignment="1">
      <alignment horizontal="center" vertical="center"/>
    </xf>
    <xf numFmtId="0" fontId="0" fillId="0" borderId="0" xfId="0" pivotButton="1"/>
    <xf numFmtId="0" fontId="23" fillId="0" borderId="0" xfId="0" applyFont="1" applyAlignment="1">
      <alignment horizontal="center" vertical="center" wrapText="1"/>
    </xf>
    <xf numFmtId="22" fontId="23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wrapText="1"/>
    </xf>
    <xf numFmtId="3" fontId="24" fillId="0" borderId="0" xfId="0" applyNumberFormat="1" applyFont="1" applyAlignment="1">
      <alignment wrapText="1"/>
    </xf>
    <xf numFmtId="11" fontId="24" fillId="0" borderId="0" xfId="0" applyNumberFormat="1" applyFont="1" applyAlignment="1">
      <alignment wrapText="1"/>
    </xf>
    <xf numFmtId="0" fontId="13" fillId="3" borderId="15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1" fontId="0" fillId="0" borderId="0" xfId="0" applyNumberFormat="1"/>
    <xf numFmtId="11" fontId="0" fillId="0" borderId="34" xfId="0" applyNumberFormat="1" applyBorder="1" applyAlignment="1">
      <alignment horizontal="center" vertical="center"/>
    </xf>
    <xf numFmtId="11" fontId="0" fillId="0" borderId="41" xfId="0" applyNumberFormat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10" fontId="0" fillId="0" borderId="0" xfId="0" applyNumberFormat="1"/>
    <xf numFmtId="167" fontId="15" fillId="0" borderId="0" xfId="4" applyNumberFormat="1" applyFont="1" applyFill="1" applyBorder="1" applyAlignment="1">
      <alignment horizontal="center" vertical="center" readingOrder="2"/>
    </xf>
    <xf numFmtId="1" fontId="13" fillId="3" borderId="51" xfId="3" applyNumberFormat="1" applyFont="1" applyFill="1" applyBorder="1" applyAlignment="1">
      <alignment horizontal="center" vertical="center" readingOrder="2"/>
    </xf>
    <xf numFmtId="1" fontId="13" fillId="3" borderId="52" xfId="3" applyNumberFormat="1" applyFont="1" applyFill="1" applyBorder="1" applyAlignment="1">
      <alignment horizontal="center" vertical="center" readingOrder="2"/>
    </xf>
    <xf numFmtId="0" fontId="15" fillId="0" borderId="35" xfId="3" applyFont="1" applyBorder="1" applyAlignment="1">
      <alignment horizontal="center" vertical="center" readingOrder="2"/>
    </xf>
    <xf numFmtId="2" fontId="7" fillId="0" borderId="15" xfId="7" applyNumberFormat="1" applyFont="1" applyBorder="1" applyAlignment="1">
      <alignment horizontal="center" vertical="center"/>
    </xf>
    <xf numFmtId="3" fontId="26" fillId="13" borderId="33" xfId="3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vertical="center" readingOrder="2"/>
    </xf>
    <xf numFmtId="0" fontId="13" fillId="3" borderId="22" xfId="3" applyFont="1" applyFill="1" applyBorder="1" applyAlignment="1">
      <alignment horizontal="center" vertical="center" readingOrder="2"/>
    </xf>
    <xf numFmtId="0" fontId="13" fillId="3" borderId="54" xfId="3" applyFont="1" applyFill="1" applyBorder="1" applyAlignment="1">
      <alignment horizontal="center" vertical="center" readingOrder="2"/>
    </xf>
    <xf numFmtId="0" fontId="15" fillId="0" borderId="39" xfId="3" applyFont="1" applyBorder="1" applyAlignment="1">
      <alignment horizontal="center" vertical="center" readingOrder="2"/>
    </xf>
    <xf numFmtId="0" fontId="21" fillId="0" borderId="24" xfId="1" applyFont="1" applyBorder="1" applyAlignment="1">
      <alignment horizontal="center" vertical="center"/>
    </xf>
    <xf numFmtId="164" fontId="13" fillId="6" borderId="41" xfId="6" applyNumberFormat="1" applyFont="1" applyFill="1" applyBorder="1" applyAlignment="1">
      <alignment horizontal="center" vertical="center"/>
    </xf>
    <xf numFmtId="22" fontId="0" fillId="0" borderId="0" xfId="0" applyNumberFormat="1"/>
    <xf numFmtId="10" fontId="15" fillId="0" borderId="0" xfId="5" applyNumberFormat="1" applyFont="1" applyAlignment="1">
      <alignment horizontal="center" vertical="center"/>
    </xf>
    <xf numFmtId="0" fontId="13" fillId="3" borderId="35" xfId="1" applyFont="1" applyFill="1" applyBorder="1" applyAlignment="1">
      <alignment horizontal="center" vertical="center"/>
    </xf>
    <xf numFmtId="0" fontId="15" fillId="0" borderId="34" xfId="1" applyFont="1" applyBorder="1"/>
    <xf numFmtId="0" fontId="27" fillId="15" borderId="55" xfId="0" applyFont="1" applyFill="1" applyBorder="1"/>
    <xf numFmtId="10" fontId="0" fillId="0" borderId="0" xfId="5" applyNumberFormat="1" applyFont="1"/>
    <xf numFmtId="0" fontId="2" fillId="6" borderId="13" xfId="0" applyFont="1" applyFill="1" applyBorder="1" applyAlignment="1">
      <alignment horizontal="center" vertical="center"/>
    </xf>
    <xf numFmtId="1" fontId="0" fillId="0" borderId="41" xfId="0" applyNumberFormat="1" applyBorder="1" applyAlignment="1">
      <alignment horizontal="center" vertical="center"/>
    </xf>
    <xf numFmtId="10" fontId="27" fillId="0" borderId="55" xfId="5" applyNumberFormat="1" applyFont="1" applyBorder="1"/>
    <xf numFmtId="10" fontId="25" fillId="0" borderId="0" xfId="5" applyNumberFormat="1" applyFont="1"/>
    <xf numFmtId="10" fontId="15" fillId="3" borderId="35" xfId="1" applyNumberFormat="1" applyFont="1" applyFill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0" fontId="7" fillId="0" borderId="15" xfId="6" applyFont="1" applyBorder="1" applyAlignment="1">
      <alignment horizontal="center" vertical="center"/>
    </xf>
    <xf numFmtId="164" fontId="15" fillId="0" borderId="15" xfId="5" applyNumberFormat="1" applyFont="1" applyBorder="1" applyAlignment="1">
      <alignment horizontal="center" vertical="center"/>
    </xf>
    <xf numFmtId="164" fontId="15" fillId="0" borderId="31" xfId="5" applyNumberFormat="1" applyFont="1" applyBorder="1" applyAlignment="1">
      <alignment horizontal="center" vertical="center"/>
    </xf>
    <xf numFmtId="167" fontId="15" fillId="0" borderId="1" xfId="4" applyNumberFormat="1" applyFont="1" applyFill="1" applyBorder="1" applyAlignment="1">
      <alignment horizontal="center" vertical="center" readingOrder="2"/>
    </xf>
    <xf numFmtId="167" fontId="15" fillId="0" borderId="10" xfId="4" applyNumberFormat="1" applyFont="1" applyFill="1" applyBorder="1" applyAlignment="1">
      <alignment horizontal="center" vertical="center" readingOrder="2"/>
    </xf>
    <xf numFmtId="172" fontId="15" fillId="0" borderId="31" xfId="1" applyNumberFormat="1" applyFont="1" applyBorder="1" applyAlignment="1">
      <alignment horizontal="center"/>
    </xf>
    <xf numFmtId="0" fontId="15" fillId="0" borderId="41" xfId="1" applyFont="1" applyBorder="1"/>
    <xf numFmtId="167" fontId="15" fillId="0" borderId="35" xfId="4" applyNumberFormat="1" applyFont="1" applyFill="1" applyBorder="1" applyAlignment="1">
      <alignment horizontal="center" vertical="center" readingOrder="2"/>
    </xf>
    <xf numFmtId="171" fontId="15" fillId="0" borderId="31" xfId="1" applyNumberFormat="1" applyFont="1" applyBorder="1" applyAlignment="1">
      <alignment horizontal="center" vertical="center"/>
    </xf>
    <xf numFmtId="10" fontId="15" fillId="0" borderId="15" xfId="5" applyNumberFormat="1" applyFont="1" applyBorder="1" applyAlignment="1">
      <alignment horizontal="center"/>
    </xf>
    <xf numFmtId="167" fontId="15" fillId="0" borderId="13" xfId="4" applyNumberFormat="1" applyFont="1" applyFill="1" applyBorder="1" applyAlignment="1">
      <alignment horizontal="center" vertical="center" readingOrder="2"/>
    </xf>
    <xf numFmtId="10" fontId="15" fillId="0" borderId="31" xfId="5" applyNumberFormat="1" applyFont="1" applyBorder="1" applyAlignment="1">
      <alignment horizontal="center"/>
    </xf>
    <xf numFmtId="3" fontId="26" fillId="13" borderId="16" xfId="3" applyNumberFormat="1" applyFont="1" applyFill="1" applyBorder="1" applyAlignment="1">
      <alignment horizontal="center" vertical="center" readingOrder="2"/>
    </xf>
    <xf numFmtId="3" fontId="26" fillId="14" borderId="0" xfId="3" applyNumberFormat="1" applyFont="1" applyFill="1" applyAlignment="1">
      <alignment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60" xfId="3" applyFont="1" applyFill="1" applyBorder="1" applyAlignment="1">
      <alignment horizontal="center" vertical="center" readingOrder="2"/>
    </xf>
    <xf numFmtId="3" fontId="26" fillId="16" borderId="33" xfId="3" applyNumberFormat="1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9" fontId="15" fillId="0" borderId="15" xfId="4" applyNumberFormat="1" applyFont="1" applyFill="1" applyBorder="1" applyAlignment="1">
      <alignment horizontal="center" vertical="center" readingOrder="2"/>
    </xf>
    <xf numFmtId="0" fontId="15" fillId="3" borderId="15" xfId="1" applyFont="1" applyFill="1" applyBorder="1" applyAlignment="1">
      <alignment horizontal="center" vertical="center"/>
    </xf>
    <xf numFmtId="37" fontId="15" fillId="0" borderId="15" xfId="4" applyNumberFormat="1" applyFont="1" applyFill="1" applyBorder="1" applyAlignment="1">
      <alignment horizontal="center" vertical="center" readingOrder="2"/>
    </xf>
    <xf numFmtId="39" fontId="7" fillId="6" borderId="31" xfId="7" applyNumberFormat="1" applyFont="1" applyFill="1" applyBorder="1" applyAlignment="1">
      <alignment horizontal="center" vertical="center"/>
    </xf>
    <xf numFmtId="1" fontId="15" fillId="6" borderId="31" xfId="8" applyNumberFormat="1" applyFont="1" applyFill="1" applyBorder="1" applyAlignment="1">
      <alignment horizontal="center" vertical="center" readingOrder="2"/>
    </xf>
    <xf numFmtId="3" fontId="26" fillId="14" borderId="20" xfId="3" applyNumberFormat="1" applyFont="1" applyFill="1" applyBorder="1" applyAlignment="1">
      <alignment horizontal="center" vertical="center" readingOrder="2"/>
    </xf>
    <xf numFmtId="0" fontId="13" fillId="3" borderId="7" xfId="3" applyFont="1" applyFill="1" applyBorder="1" applyAlignment="1">
      <alignment horizontal="center" vertical="center" readingOrder="2"/>
    </xf>
    <xf numFmtId="1" fontId="13" fillId="3" borderId="63" xfId="3" applyNumberFormat="1" applyFont="1" applyFill="1" applyBorder="1" applyAlignment="1">
      <alignment horizontal="center" vertical="center" readingOrder="2"/>
    </xf>
    <xf numFmtId="1" fontId="13" fillId="3" borderId="28" xfId="3" applyNumberFormat="1" applyFont="1" applyFill="1" applyBorder="1" applyAlignment="1">
      <alignment horizontal="center" vertical="center" readingOrder="2"/>
    </xf>
    <xf numFmtId="179" fontId="15" fillId="0" borderId="15" xfId="8" applyNumberFormat="1" applyFont="1" applyFill="1" applyBorder="1" applyAlignment="1">
      <alignment horizontal="center" vertical="center" readingOrder="2"/>
    </xf>
    <xf numFmtId="1" fontId="13" fillId="3" borderId="29" xfId="3" applyNumberFormat="1" applyFont="1" applyFill="1" applyBorder="1" applyAlignment="1">
      <alignment horizontal="center" vertical="center" readingOrder="2"/>
    </xf>
    <xf numFmtId="0" fontId="21" fillId="0" borderId="34" xfId="1" applyFont="1" applyBorder="1" applyAlignment="1">
      <alignment horizontal="center" vertical="center"/>
    </xf>
    <xf numFmtId="179" fontId="15" fillId="0" borderId="34" xfId="8" applyNumberFormat="1" applyFont="1" applyFill="1" applyBorder="1" applyAlignment="1">
      <alignment horizontal="center" vertical="center" readingOrder="2"/>
    </xf>
    <xf numFmtId="39" fontId="15" fillId="0" borderId="34" xfId="4" applyNumberFormat="1" applyFont="1" applyFill="1" applyBorder="1" applyAlignment="1">
      <alignment horizontal="center" vertical="center" readingOrder="2"/>
    </xf>
    <xf numFmtId="9" fontId="15" fillId="0" borderId="31" xfId="8" applyFont="1" applyFill="1" applyBorder="1" applyAlignment="1">
      <alignment horizontal="center" vertical="center" readingOrder="2"/>
    </xf>
    <xf numFmtId="37" fontId="15" fillId="0" borderId="34" xfId="4" applyNumberFormat="1" applyFont="1" applyFill="1" applyBorder="1" applyAlignment="1">
      <alignment horizontal="center" vertical="center" readingOrder="2"/>
    </xf>
    <xf numFmtId="0" fontId="13" fillId="0" borderId="0" xfId="1" applyFont="1"/>
    <xf numFmtId="38" fontId="13" fillId="6" borderId="34" xfId="3" applyNumberFormat="1" applyFont="1" applyFill="1" applyBorder="1" applyAlignment="1">
      <alignment horizontal="center" vertical="center" readingOrder="2"/>
    </xf>
    <xf numFmtId="2" fontId="15" fillId="2" borderId="34" xfId="5" applyNumberFormat="1" applyFont="1" applyFill="1" applyBorder="1" applyAlignment="1">
      <alignment vertical="center" readingOrder="2"/>
    </xf>
    <xf numFmtId="0" fontId="7" fillId="0" borderId="31" xfId="3" applyFont="1" applyBorder="1"/>
    <xf numFmtId="0" fontId="13" fillId="6" borderId="13" xfId="3" applyFont="1" applyFill="1" applyBorder="1" applyAlignment="1">
      <alignment readingOrder="2"/>
    </xf>
    <xf numFmtId="0" fontId="13" fillId="6" borderId="35" xfId="3" applyFont="1" applyFill="1" applyBorder="1" applyAlignment="1">
      <alignment readingOrder="2"/>
    </xf>
    <xf numFmtId="0" fontId="15" fillId="0" borderId="0" xfId="3" applyFont="1" applyAlignment="1">
      <alignment horizontal="center" vertical="center" readingOrder="2"/>
    </xf>
    <xf numFmtId="9" fontId="15" fillId="0" borderId="0" xfId="8" applyFont="1" applyFill="1" applyBorder="1" applyAlignment="1">
      <alignment horizontal="center" vertical="center" readingOrder="2"/>
    </xf>
    <xf numFmtId="1" fontId="15" fillId="0" borderId="0" xfId="8" applyNumberFormat="1" applyFont="1" applyFill="1" applyBorder="1" applyAlignment="1">
      <alignment horizontal="center" vertical="center" readingOrder="2"/>
    </xf>
    <xf numFmtId="37" fontId="7" fillId="0" borderId="0" xfId="7" applyNumberFormat="1" applyFont="1" applyFill="1" applyBorder="1" applyAlignment="1">
      <alignment horizontal="center" vertical="center"/>
    </xf>
    <xf numFmtId="1" fontId="13" fillId="3" borderId="44" xfId="3" applyNumberFormat="1" applyFont="1" applyFill="1" applyBorder="1" applyAlignment="1">
      <alignment horizontal="center" vertical="center" readingOrder="2"/>
    </xf>
    <xf numFmtId="1" fontId="13" fillId="3" borderId="45" xfId="3" applyNumberFormat="1" applyFont="1" applyFill="1" applyBorder="1" applyAlignment="1">
      <alignment horizontal="center" vertical="center" readingOrder="2"/>
    </xf>
    <xf numFmtId="39" fontId="7" fillId="0" borderId="31" xfId="7" applyNumberFormat="1" applyFont="1" applyFill="1" applyBorder="1" applyAlignment="1">
      <alignment horizontal="center" vertical="center"/>
    </xf>
    <xf numFmtId="0" fontId="13" fillId="6" borderId="13" xfId="3" applyFont="1" applyFill="1" applyBorder="1" applyAlignment="1">
      <alignment horizontal="center" vertical="center" readingOrder="2"/>
    </xf>
    <xf numFmtId="9" fontId="13" fillId="6" borderId="31" xfId="8" applyFont="1" applyFill="1" applyBorder="1" applyAlignment="1">
      <alignment horizontal="center" vertical="center" readingOrder="2"/>
    </xf>
    <xf numFmtId="164" fontId="15" fillId="0" borderId="0" xfId="1" applyNumberFormat="1" applyFont="1" applyAlignment="1">
      <alignment horizontal="center" vertical="center"/>
    </xf>
    <xf numFmtId="10" fontId="15" fillId="0" borderId="0" xfId="1" applyNumberFormat="1" applyFont="1" applyAlignment="1">
      <alignment horizontal="center" vertical="center"/>
    </xf>
    <xf numFmtId="2" fontId="15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0" fontId="15" fillId="6" borderId="35" xfId="1" applyFont="1" applyFill="1" applyBorder="1" applyAlignment="1">
      <alignment horizontal="center"/>
    </xf>
    <xf numFmtId="0" fontId="15" fillId="0" borderId="41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5" fillId="0" borderId="36" xfId="3" applyFont="1" applyBorder="1" applyAlignment="1">
      <alignment horizontal="center" vertical="center" readingOrder="2"/>
    </xf>
    <xf numFmtId="2" fontId="15" fillId="6" borderId="31" xfId="1" applyNumberFormat="1" applyFont="1" applyFill="1" applyBorder="1" applyAlignment="1">
      <alignment horizontal="center"/>
    </xf>
    <xf numFmtId="0" fontId="13" fillId="6" borderId="34" xfId="1" applyFont="1" applyFill="1" applyBorder="1" applyAlignment="1">
      <alignment vertical="center"/>
    </xf>
    <xf numFmtId="0" fontId="13" fillId="6" borderId="34" xfId="1" applyFont="1" applyFill="1" applyBorder="1" applyAlignment="1">
      <alignment horizontal="center" vertical="center"/>
    </xf>
    <xf numFmtId="164" fontId="15" fillId="0" borderId="41" xfId="5" applyNumberFormat="1" applyFont="1" applyBorder="1" applyAlignment="1">
      <alignment horizontal="center" vertical="center"/>
    </xf>
    <xf numFmtId="10" fontId="13" fillId="6" borderId="35" xfId="1" applyNumberFormat="1" applyFont="1" applyFill="1" applyBorder="1" applyAlignment="1">
      <alignment horizontal="center" vertical="center"/>
    </xf>
    <xf numFmtId="10" fontId="13" fillId="6" borderId="15" xfId="1" applyNumberFormat="1" applyFont="1" applyFill="1" applyBorder="1" applyAlignment="1">
      <alignment horizontal="center" vertical="center"/>
    </xf>
    <xf numFmtId="10" fontId="15" fillId="6" borderId="35" xfId="1" applyNumberFormat="1" applyFont="1" applyFill="1" applyBorder="1" applyAlignment="1">
      <alignment horizontal="center" vertical="center"/>
    </xf>
    <xf numFmtId="10" fontId="15" fillId="6" borderId="15" xfId="1" applyNumberFormat="1" applyFont="1" applyFill="1" applyBorder="1" applyAlignment="1">
      <alignment horizontal="center" vertical="center"/>
    </xf>
    <xf numFmtId="2" fontId="15" fillId="6" borderId="15" xfId="1" applyNumberFormat="1" applyFont="1" applyFill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67" fontId="13" fillId="0" borderId="0" xfId="4" applyNumberFormat="1" applyFont="1" applyFill="1" applyBorder="1" applyAlignment="1">
      <alignment horizontal="center" vertical="center" readingOrder="2"/>
    </xf>
    <xf numFmtId="0" fontId="13" fillId="2" borderId="13" xfId="3" applyFont="1" applyFill="1" applyBorder="1" applyAlignment="1">
      <alignment horizontal="center" vertical="center" readingOrder="2"/>
    </xf>
    <xf numFmtId="9" fontId="15" fillId="0" borderId="41" xfId="1" applyNumberFormat="1" applyFont="1" applyBorder="1" applyAlignment="1">
      <alignment horizontal="center" vertical="center"/>
    </xf>
    <xf numFmtId="0" fontId="15" fillId="0" borderId="13" xfId="3" applyFont="1" applyBorder="1" applyAlignment="1">
      <alignment horizontal="center" vertical="center" readingOrder="2"/>
    </xf>
    <xf numFmtId="37" fontId="7" fillId="0" borderId="31" xfId="7" applyNumberFormat="1" applyFont="1" applyBorder="1" applyAlignment="1">
      <alignment horizontal="center" vertical="center"/>
    </xf>
    <xf numFmtId="37" fontId="7" fillId="0" borderId="41" xfId="7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readingOrder="2"/>
    </xf>
    <xf numFmtId="9" fontId="13" fillId="0" borderId="0" xfId="8" applyFont="1" applyFill="1" applyBorder="1" applyAlignment="1">
      <alignment horizontal="center" vertical="center" readingOrder="2"/>
    </xf>
    <xf numFmtId="39" fontId="7" fillId="0" borderId="0" xfId="7" applyNumberFormat="1" applyFont="1" applyFill="1" applyBorder="1" applyAlignment="1">
      <alignment horizontal="center" vertical="center"/>
    </xf>
    <xf numFmtId="1" fontId="15" fillId="0" borderId="15" xfId="8" applyNumberFormat="1" applyFont="1" applyFill="1" applyBorder="1" applyAlignment="1">
      <alignment horizontal="center" vertical="center" readingOrder="2"/>
    </xf>
    <xf numFmtId="39" fontId="7" fillId="6" borderId="41" xfId="7" applyNumberFormat="1" applyFont="1" applyFill="1" applyBorder="1" applyAlignment="1">
      <alignment horizontal="center" vertical="center"/>
    </xf>
    <xf numFmtId="39" fontId="7" fillId="0" borderId="41" xfId="7" applyNumberFormat="1" applyFont="1" applyFill="1" applyBorder="1" applyAlignment="1">
      <alignment horizontal="center" vertical="center"/>
    </xf>
    <xf numFmtId="39" fontId="7" fillId="0" borderId="15" xfId="7" applyNumberFormat="1" applyFont="1" applyFill="1" applyBorder="1" applyAlignment="1">
      <alignment horizontal="center" vertical="center"/>
    </xf>
    <xf numFmtId="39" fontId="7" fillId="0" borderId="34" xfId="7" applyNumberFormat="1" applyFont="1" applyFill="1" applyBorder="1" applyAlignment="1">
      <alignment horizontal="center" vertical="center"/>
    </xf>
    <xf numFmtId="3" fontId="26" fillId="16" borderId="61" xfId="3" applyNumberFormat="1" applyFont="1" applyFill="1" applyBorder="1" applyAlignment="1">
      <alignment horizontal="center" vertical="center" readingOrder="2"/>
    </xf>
    <xf numFmtId="3" fontId="26" fillId="14" borderId="23" xfId="3" applyNumberFormat="1" applyFont="1" applyFill="1" applyBorder="1" applyAlignment="1">
      <alignment horizontal="center" vertical="center" readingOrder="2"/>
    </xf>
    <xf numFmtId="0" fontId="13" fillId="3" borderId="23" xfId="3" applyFont="1" applyFill="1" applyBorder="1" applyAlignment="1">
      <alignment horizontal="center" vertical="center" readingOrder="2"/>
    </xf>
    <xf numFmtId="0" fontId="13" fillId="0" borderId="23" xfId="3" applyFont="1" applyBorder="1" applyAlignment="1">
      <alignment horizontal="center" vertical="center" readingOrder="2"/>
    </xf>
    <xf numFmtId="0" fontId="13" fillId="0" borderId="68" xfId="3" applyFont="1" applyBorder="1" applyAlignment="1">
      <alignment horizontal="center" vertical="center" readingOrder="2"/>
    </xf>
    <xf numFmtId="0" fontId="28" fillId="13" borderId="42" xfId="3" applyFont="1" applyFill="1" applyBorder="1" applyAlignment="1">
      <alignment horizontal="center" vertical="center"/>
    </xf>
    <xf numFmtId="1" fontId="13" fillId="3" borderId="35" xfId="3" applyNumberFormat="1" applyFont="1" applyFill="1" applyBorder="1" applyAlignment="1">
      <alignment horizontal="center" vertical="center" readingOrder="2"/>
    </xf>
    <xf numFmtId="1" fontId="13" fillId="0" borderId="35" xfId="3" applyNumberFormat="1" applyFont="1" applyBorder="1" applyAlignment="1">
      <alignment horizontal="center" vertical="center" readingOrder="2"/>
    </xf>
    <xf numFmtId="1" fontId="13" fillId="0" borderId="13" xfId="3" applyNumberFormat="1" applyFont="1" applyBorder="1" applyAlignment="1">
      <alignment horizontal="center" vertical="center" readingOrder="2"/>
    </xf>
    <xf numFmtId="2" fontId="7" fillId="0" borderId="0" xfId="3" applyNumberFormat="1" applyFont="1"/>
    <xf numFmtId="0" fontId="13" fillId="0" borderId="0" xfId="0" applyFont="1" applyAlignment="1">
      <alignment horizontal="center" vertical="center"/>
    </xf>
    <xf numFmtId="171" fontId="15" fillId="0" borderId="0" xfId="1" applyNumberFormat="1" applyFont="1" applyAlignment="1">
      <alignment horizontal="center" vertical="center"/>
    </xf>
    <xf numFmtId="2" fontId="13" fillId="6" borderId="41" xfId="6" applyNumberFormat="1" applyFont="1" applyFill="1" applyBorder="1" applyAlignment="1">
      <alignment horizontal="center" vertical="center"/>
    </xf>
    <xf numFmtId="0" fontId="13" fillId="6" borderId="15" xfId="3" applyFont="1" applyFill="1" applyBorder="1" applyAlignment="1">
      <alignment horizontal="center" vertical="center" readingOrder="2"/>
    </xf>
    <xf numFmtId="3" fontId="15" fillId="0" borderId="15" xfId="2" quotePrefix="1" applyNumberFormat="1" applyFont="1" applyBorder="1" applyAlignment="1">
      <alignment horizontal="center"/>
    </xf>
    <xf numFmtId="2" fontId="15" fillId="0" borderId="15" xfId="2" applyNumberFormat="1" applyFont="1" applyBorder="1" applyAlignment="1">
      <alignment horizontal="center"/>
    </xf>
    <xf numFmtId="0" fontId="16" fillId="3" borderId="44" xfId="3" applyFont="1" applyFill="1" applyBorder="1" applyAlignment="1">
      <alignment horizontal="center" vertical="center" wrapText="1"/>
    </xf>
    <xf numFmtId="0" fontId="7" fillId="0" borderId="15" xfId="3" applyFont="1" applyBorder="1" applyAlignment="1">
      <alignment horizontal="center"/>
    </xf>
    <xf numFmtId="17" fontId="15" fillId="0" borderId="0" xfId="1" applyNumberFormat="1" applyFont="1"/>
    <xf numFmtId="180" fontId="15" fillId="0" borderId="0" xfId="1" applyNumberFormat="1" applyFont="1"/>
    <xf numFmtId="1" fontId="7" fillId="0" borderId="0" xfId="0" applyNumberFormat="1" applyFont="1"/>
    <xf numFmtId="0" fontId="15" fillId="9" borderId="31" xfId="1" applyFont="1" applyFill="1" applyBorder="1" applyAlignment="1">
      <alignment horizontal="center" vertical="center"/>
    </xf>
    <xf numFmtId="0" fontId="13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horizontal="center" vertical="center"/>
    </xf>
    <xf numFmtId="0" fontId="15" fillId="17" borderId="15" xfId="1" applyFont="1" applyFill="1" applyBorder="1" applyAlignment="1">
      <alignment vertical="center"/>
    </xf>
    <xf numFmtId="0" fontId="15" fillId="17" borderId="15" xfId="1" applyFont="1" applyFill="1" applyBorder="1" applyAlignment="1">
      <alignment horizontal="right" vertical="center"/>
    </xf>
    <xf numFmtId="0" fontId="15" fillId="17" borderId="25" xfId="1" applyFont="1" applyFill="1" applyBorder="1" applyAlignment="1">
      <alignment horizontal="center" vertical="center"/>
    </xf>
    <xf numFmtId="0" fontId="18" fillId="18" borderId="15" xfId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2" fontId="13" fillId="18" borderId="34" xfId="1" applyNumberFormat="1" applyFont="1" applyFill="1" applyBorder="1" applyAlignment="1">
      <alignment horizontal="center" vertical="center"/>
    </xf>
    <xf numFmtId="39" fontId="13" fillId="18" borderId="34" xfId="1" applyNumberFormat="1" applyFont="1" applyFill="1" applyBorder="1" applyAlignment="1">
      <alignment horizontal="center"/>
    </xf>
    <xf numFmtId="10" fontId="13" fillId="6" borderId="34" xfId="1" applyNumberFormat="1" applyFont="1" applyFill="1" applyBorder="1" applyAlignment="1">
      <alignment horizontal="center"/>
    </xf>
    <xf numFmtId="2" fontId="13" fillId="6" borderId="34" xfId="1" applyNumberFormat="1" applyFont="1" applyFill="1" applyBorder="1" applyAlignment="1">
      <alignment horizontal="center" vertical="center"/>
    </xf>
    <xf numFmtId="4" fontId="13" fillId="17" borderId="34" xfId="1" applyNumberFormat="1" applyFont="1" applyFill="1" applyBorder="1" applyAlignment="1">
      <alignment horizontal="center"/>
    </xf>
    <xf numFmtId="9" fontId="13" fillId="17" borderId="56" xfId="1" applyNumberFormat="1" applyFont="1" applyFill="1" applyBorder="1" applyAlignment="1">
      <alignment horizontal="center"/>
    </xf>
    <xf numFmtId="4" fontId="13" fillId="9" borderId="41" xfId="1" applyNumberFormat="1" applyFont="1" applyFill="1" applyBorder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3" fillId="0" borderId="41" xfId="1" applyFont="1" applyBorder="1" applyAlignment="1">
      <alignment horizontal="center" vertical="center" wrapText="1"/>
    </xf>
    <xf numFmtId="0" fontId="15" fillId="0" borderId="34" xfId="1" applyFont="1" applyBorder="1" applyAlignment="1">
      <alignment horizontal="center" vertical="center" wrapText="1"/>
    </xf>
    <xf numFmtId="49" fontId="13" fillId="6" borderId="34" xfId="1" applyNumberFormat="1" applyFont="1" applyFill="1" applyBorder="1" applyAlignment="1">
      <alignment horizontal="center" vertical="center"/>
    </xf>
    <xf numFmtId="2" fontId="15" fillId="6" borderId="41" xfId="1" applyNumberFormat="1" applyFont="1" applyFill="1" applyBorder="1" applyAlignment="1">
      <alignment horizontal="center" vertical="center"/>
    </xf>
    <xf numFmtId="49" fontId="13" fillId="3" borderId="34" xfId="1" applyNumberFormat="1" applyFont="1" applyFill="1" applyBorder="1" applyAlignment="1">
      <alignment horizontal="center" vertical="center"/>
    </xf>
    <xf numFmtId="2" fontId="15" fillId="0" borderId="34" xfId="1" applyNumberFormat="1" applyFont="1" applyBorder="1" applyAlignment="1">
      <alignment horizontal="center" vertical="center"/>
    </xf>
    <xf numFmtId="171" fontId="15" fillId="0" borderId="34" xfId="1" applyNumberFormat="1" applyFont="1" applyBorder="1" applyAlignment="1">
      <alignment horizontal="center" vertical="center"/>
    </xf>
    <xf numFmtId="9" fontId="15" fillId="0" borderId="34" xfId="1" applyNumberFormat="1" applyFont="1" applyBorder="1" applyAlignment="1">
      <alignment horizontal="center" vertical="center"/>
    </xf>
    <xf numFmtId="1" fontId="15" fillId="0" borderId="41" xfId="1" applyNumberFormat="1" applyFont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 wrapText="1"/>
    </xf>
    <xf numFmtId="0" fontId="13" fillId="5" borderId="71" xfId="0" applyFont="1" applyFill="1" applyBorder="1" applyAlignment="1">
      <alignment horizontal="center" vertical="center"/>
    </xf>
    <xf numFmtId="0" fontId="13" fillId="5" borderId="62" xfId="0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 readingOrder="2"/>
    </xf>
    <xf numFmtId="0" fontId="15" fillId="3" borderId="34" xfId="1" applyFont="1" applyFill="1" applyBorder="1" applyAlignment="1">
      <alignment horizontal="center" vertical="center"/>
    </xf>
    <xf numFmtId="10" fontId="15" fillId="0" borderId="34" xfId="5" applyNumberFormat="1" applyFont="1" applyBorder="1" applyAlignment="1">
      <alignment horizontal="center"/>
    </xf>
    <xf numFmtId="10" fontId="15" fillId="0" borderId="41" xfId="5" applyNumberFormat="1" applyFont="1" applyBorder="1" applyAlignment="1">
      <alignment horizontal="center"/>
    </xf>
    <xf numFmtId="0" fontId="33" fillId="0" borderId="15" xfId="1" applyFont="1" applyBorder="1" applyAlignment="1">
      <alignment horizontal="center" vertical="center"/>
    </xf>
    <xf numFmtId="0" fontId="13" fillId="3" borderId="24" xfId="3" applyFont="1" applyFill="1" applyBorder="1" applyAlignment="1">
      <alignment horizontal="center" vertical="center" readingOrder="2"/>
    </xf>
    <xf numFmtId="0" fontId="30" fillId="0" borderId="13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13" fillId="6" borderId="23" xfId="1" applyFont="1" applyFill="1" applyBorder="1" applyAlignment="1">
      <alignment horizontal="center" vertical="center"/>
    </xf>
    <xf numFmtId="0" fontId="13" fillId="6" borderId="43" xfId="1" applyFont="1" applyFill="1" applyBorder="1" applyAlignment="1">
      <alignment horizontal="center" vertical="center"/>
    </xf>
    <xf numFmtId="0" fontId="13" fillId="6" borderId="69" xfId="1" applyFont="1" applyFill="1" applyBorder="1" applyAlignment="1">
      <alignment horizontal="center" vertical="center"/>
    </xf>
    <xf numFmtId="0" fontId="30" fillId="6" borderId="21" xfId="1" applyFont="1" applyFill="1" applyBorder="1" applyAlignment="1">
      <alignment horizontal="center" vertical="center"/>
    </xf>
    <xf numFmtId="0" fontId="30" fillId="6" borderId="33" xfId="1" applyFont="1" applyFill="1" applyBorder="1" applyAlignment="1">
      <alignment horizontal="center" vertical="center"/>
    </xf>
    <xf numFmtId="0" fontId="30" fillId="6" borderId="22" xfId="1" applyFont="1" applyFill="1" applyBorder="1" applyAlignment="1">
      <alignment horizontal="center" vertical="center"/>
    </xf>
    <xf numFmtId="0" fontId="30" fillId="0" borderId="32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13" fillId="3" borderId="21" xfId="1" applyFont="1" applyFill="1" applyBorder="1" applyAlignment="1">
      <alignment horizontal="center"/>
    </xf>
    <xf numFmtId="0" fontId="13" fillId="3" borderId="22" xfId="1" applyFont="1" applyFill="1" applyBorder="1" applyAlignment="1">
      <alignment horizontal="center"/>
    </xf>
    <xf numFmtId="0" fontId="13" fillId="6" borderId="15" xfId="1" applyFont="1" applyFill="1" applyBorder="1" applyAlignment="1">
      <alignment horizontal="center" vertical="center"/>
    </xf>
    <xf numFmtId="0" fontId="13" fillId="6" borderId="66" xfId="1" applyFont="1" applyFill="1" applyBorder="1" applyAlignment="1">
      <alignment horizontal="center" vertical="center"/>
    </xf>
    <xf numFmtId="0" fontId="13" fillId="6" borderId="65" xfId="1" applyFont="1" applyFill="1" applyBorder="1" applyAlignment="1">
      <alignment horizontal="center" vertical="center"/>
    </xf>
    <xf numFmtId="0" fontId="13" fillId="6" borderId="67" xfId="1" applyFont="1" applyFill="1" applyBorder="1" applyAlignment="1">
      <alignment horizontal="center" vertical="center"/>
    </xf>
    <xf numFmtId="0" fontId="13" fillId="6" borderId="37" xfId="1" applyFont="1" applyFill="1" applyBorder="1" applyAlignment="1">
      <alignment horizontal="center" vertical="center"/>
    </xf>
    <xf numFmtId="0" fontId="13" fillId="6" borderId="35" xfId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/>
    </xf>
    <xf numFmtId="0" fontId="13" fillId="3" borderId="44" xfId="1" applyFont="1" applyFill="1" applyBorder="1" applyAlignment="1">
      <alignment horizontal="center"/>
    </xf>
    <xf numFmtId="0" fontId="13" fillId="3" borderId="45" xfId="1" applyFont="1" applyFill="1" applyBorder="1" applyAlignment="1">
      <alignment horizontal="center"/>
    </xf>
    <xf numFmtId="10" fontId="13" fillId="3" borderId="42" xfId="1" applyNumberFormat="1" applyFont="1" applyFill="1" applyBorder="1" applyAlignment="1">
      <alignment horizontal="center" vertical="center"/>
    </xf>
    <xf numFmtId="10" fontId="13" fillId="3" borderId="44" xfId="1" applyNumberFormat="1" applyFont="1" applyFill="1" applyBorder="1" applyAlignment="1">
      <alignment horizontal="center" vertical="center"/>
    </xf>
    <xf numFmtId="10" fontId="13" fillId="3" borderId="45" xfId="1" applyNumberFormat="1" applyFont="1" applyFill="1" applyBorder="1" applyAlignment="1">
      <alignment horizontal="center" vertical="center"/>
    </xf>
    <xf numFmtId="0" fontId="15" fillId="0" borderId="31" xfId="1" applyFont="1" applyBorder="1" applyAlignment="1">
      <alignment horizontal="center"/>
    </xf>
    <xf numFmtId="0" fontId="15" fillId="0" borderId="41" xfId="1" applyFont="1" applyBorder="1" applyAlignment="1">
      <alignment horizontal="center"/>
    </xf>
    <xf numFmtId="0" fontId="13" fillId="3" borderId="44" xfId="3" applyFont="1" applyFill="1" applyBorder="1" applyAlignment="1">
      <alignment horizontal="center" vertical="center" readingOrder="2"/>
    </xf>
    <xf numFmtId="0" fontId="13" fillId="3" borderId="45" xfId="3" applyFont="1" applyFill="1" applyBorder="1" applyAlignment="1">
      <alignment horizontal="center" vertical="center" readingOrder="2"/>
    </xf>
    <xf numFmtId="10" fontId="15" fillId="0" borderId="35" xfId="1" applyNumberFormat="1" applyFont="1" applyBorder="1" applyAlignment="1">
      <alignment horizontal="center" vertical="center"/>
    </xf>
    <xf numFmtId="10" fontId="15" fillId="0" borderId="15" xfId="1" applyNumberFormat="1" applyFont="1" applyBorder="1" applyAlignment="1">
      <alignment horizontal="center" vertical="center"/>
    </xf>
    <xf numFmtId="10" fontId="15" fillId="0" borderId="34" xfId="1" applyNumberFormat="1" applyFont="1" applyBorder="1" applyAlignment="1">
      <alignment horizontal="center" vertical="center"/>
    </xf>
    <xf numFmtId="0" fontId="13" fillId="3" borderId="42" xfId="3" applyFont="1" applyFill="1" applyBorder="1" applyAlignment="1">
      <alignment horizontal="center" vertical="center" readingOrder="2"/>
    </xf>
    <xf numFmtId="0" fontId="13" fillId="3" borderId="35" xfId="3" applyFont="1" applyFill="1" applyBorder="1" applyAlignment="1">
      <alignment horizontal="center" vertical="center" readingOrder="2"/>
    </xf>
    <xf numFmtId="0" fontId="15" fillId="0" borderId="35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6" fillId="3" borderId="44" xfId="3" applyFont="1" applyFill="1" applyBorder="1" applyAlignment="1">
      <alignment horizontal="center"/>
    </xf>
    <xf numFmtId="0" fontId="13" fillId="3" borderId="15" xfId="3" applyFont="1" applyFill="1" applyBorder="1" applyAlignment="1">
      <alignment horizontal="center" vertical="center" readingOrder="2"/>
    </xf>
    <xf numFmtId="0" fontId="16" fillId="3" borderId="45" xfId="3" applyFont="1" applyFill="1" applyBorder="1" applyAlignment="1">
      <alignment horizontal="center"/>
    </xf>
    <xf numFmtId="3" fontId="13" fillId="3" borderId="44" xfId="3" applyNumberFormat="1" applyFont="1" applyFill="1" applyBorder="1" applyAlignment="1">
      <alignment horizontal="center" vertical="center" readingOrder="2"/>
    </xf>
    <xf numFmtId="3" fontId="13" fillId="3" borderId="15" xfId="3" applyNumberFormat="1" applyFont="1" applyFill="1" applyBorder="1" applyAlignment="1">
      <alignment horizontal="center" vertical="center" readingOrder="2"/>
    </xf>
    <xf numFmtId="0" fontId="13" fillId="3" borderId="34" xfId="3" applyFont="1" applyFill="1" applyBorder="1" applyAlignment="1">
      <alignment horizontal="center" vertical="center" readingOrder="2"/>
    </xf>
    <xf numFmtId="0" fontId="15" fillId="6" borderId="35" xfId="10" applyFont="1" applyFill="1" applyBorder="1" applyAlignment="1">
      <alignment horizontal="center" vertical="center" readingOrder="2"/>
    </xf>
    <xf numFmtId="0" fontId="15" fillId="6" borderId="13" xfId="10" applyFont="1" applyFill="1" applyBorder="1" applyAlignment="1">
      <alignment horizontal="center" vertical="center" readingOrder="2"/>
    </xf>
    <xf numFmtId="0" fontId="17" fillId="6" borderId="9" xfId="3" applyFont="1" applyFill="1" applyBorder="1" applyAlignment="1">
      <alignment horizontal="center" vertical="center" readingOrder="2"/>
    </xf>
    <xf numFmtId="0" fontId="17" fillId="6" borderId="18" xfId="3" applyFont="1" applyFill="1" applyBorder="1" applyAlignment="1">
      <alignment horizontal="center" vertical="center" readingOrder="2"/>
    </xf>
    <xf numFmtId="0" fontId="17" fillId="6" borderId="62" xfId="3" applyFont="1" applyFill="1" applyBorder="1" applyAlignment="1">
      <alignment horizontal="center" vertical="center" readingOrder="2"/>
    </xf>
    <xf numFmtId="0" fontId="17" fillId="6" borderId="6" xfId="3" applyFont="1" applyFill="1" applyBorder="1" applyAlignment="1">
      <alignment horizontal="center" vertical="center" readingOrder="2"/>
    </xf>
    <xf numFmtId="0" fontId="31" fillId="9" borderId="13" xfId="1" applyFont="1" applyFill="1" applyBorder="1" applyAlignment="1">
      <alignment horizontal="center" vertical="center"/>
    </xf>
    <xf numFmtId="0" fontId="31" fillId="9" borderId="31" xfId="1" applyFont="1" applyFill="1" applyBorder="1" applyAlignment="1">
      <alignment horizontal="center" vertical="center"/>
    </xf>
    <xf numFmtId="0" fontId="30" fillId="18" borderId="35" xfId="1" applyFont="1" applyFill="1" applyBorder="1" applyAlignment="1">
      <alignment horizontal="center" vertical="center" wrapText="1"/>
    </xf>
    <xf numFmtId="0" fontId="30" fillId="18" borderId="35" xfId="1" applyFont="1" applyFill="1" applyBorder="1" applyAlignment="1">
      <alignment horizontal="center" vertical="center"/>
    </xf>
    <xf numFmtId="0" fontId="32" fillId="3" borderId="42" xfId="1" applyFont="1" applyFill="1" applyBorder="1" applyAlignment="1">
      <alignment horizontal="center"/>
    </xf>
    <xf numFmtId="0" fontId="32" fillId="3" borderId="44" xfId="1" applyFont="1" applyFill="1" applyBorder="1" applyAlignment="1">
      <alignment horizontal="center"/>
    </xf>
    <xf numFmtId="0" fontId="32" fillId="3" borderId="45" xfId="1" applyFont="1" applyFill="1" applyBorder="1" applyAlignment="1">
      <alignment horizontal="center"/>
    </xf>
    <xf numFmtId="0" fontId="30" fillId="6" borderId="35" xfId="1" applyFont="1" applyFill="1" applyBorder="1" applyAlignment="1">
      <alignment horizontal="center" vertical="center"/>
    </xf>
    <xf numFmtId="0" fontId="30" fillId="6" borderId="15" xfId="1" applyFont="1" applyFill="1" applyBorder="1" applyAlignment="1">
      <alignment horizontal="center" vertical="center"/>
    </xf>
    <xf numFmtId="0" fontId="30" fillId="17" borderId="35" xfId="1" applyFont="1" applyFill="1" applyBorder="1" applyAlignment="1">
      <alignment horizontal="center" vertical="center"/>
    </xf>
    <xf numFmtId="0" fontId="30" fillId="17" borderId="15" xfId="1" applyFont="1" applyFill="1" applyBorder="1" applyAlignment="1">
      <alignment horizontal="center" vertical="center"/>
    </xf>
    <xf numFmtId="0" fontId="13" fillId="17" borderId="35" xfId="1" applyFont="1" applyFill="1" applyBorder="1" applyAlignment="1">
      <alignment horizontal="center" vertical="center"/>
    </xf>
    <xf numFmtId="0" fontId="13" fillId="17" borderId="36" xfId="1" applyFont="1" applyFill="1" applyBorder="1" applyAlignment="1">
      <alignment horizontal="center" vertical="center" wrapText="1"/>
    </xf>
    <xf numFmtId="0" fontId="13" fillId="17" borderId="50" xfId="1" applyFont="1" applyFill="1" applyBorder="1" applyAlignment="1">
      <alignment horizontal="center" vertical="center"/>
    </xf>
    <xf numFmtId="0" fontId="13" fillId="17" borderId="39" xfId="1" applyFont="1" applyFill="1" applyBorder="1" applyAlignment="1">
      <alignment horizontal="center" vertical="center"/>
    </xf>
    <xf numFmtId="49" fontId="13" fillId="3" borderId="42" xfId="0" applyNumberFormat="1" applyFont="1" applyFill="1" applyBorder="1" applyAlignment="1">
      <alignment horizontal="center" vertical="center" readingOrder="2"/>
    </xf>
    <xf numFmtId="49" fontId="13" fillId="3" borderId="35" xfId="0" applyNumberFormat="1" applyFont="1" applyFill="1" applyBorder="1" applyAlignment="1">
      <alignment horizontal="center" vertical="center" readingOrder="2"/>
    </xf>
    <xf numFmtId="0" fontId="13" fillId="3" borderId="44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29" xfId="6" applyFont="1" applyFill="1" applyBorder="1" applyAlignment="1">
      <alignment horizontal="center" vertical="center" wrapText="1"/>
    </xf>
    <xf numFmtId="0" fontId="13" fillId="3" borderId="38" xfId="6" applyFont="1" applyFill="1" applyBorder="1" applyAlignment="1">
      <alignment horizontal="center" vertical="center" wrapText="1"/>
    </xf>
    <xf numFmtId="0" fontId="13" fillId="6" borderId="13" xfId="6" applyFont="1" applyFill="1" applyBorder="1" applyAlignment="1">
      <alignment horizontal="center" vertical="center"/>
    </xf>
    <xf numFmtId="0" fontId="13" fillId="6" borderId="31" xfId="6" applyFont="1" applyFill="1" applyBorder="1" applyAlignment="1">
      <alignment horizontal="center" vertical="center"/>
    </xf>
    <xf numFmtId="0" fontId="13" fillId="5" borderId="70" xfId="0" applyFont="1" applyFill="1" applyBorder="1" applyAlignment="1">
      <alignment horizontal="center" vertical="center" wrapText="1"/>
    </xf>
    <xf numFmtId="0" fontId="13" fillId="5" borderId="70" xfId="0" applyFont="1" applyFill="1" applyBorder="1" applyAlignment="1">
      <alignment horizontal="center" vertical="center"/>
    </xf>
    <xf numFmtId="10" fontId="13" fillId="6" borderId="21" xfId="1" applyNumberFormat="1" applyFont="1" applyFill="1" applyBorder="1" applyAlignment="1">
      <alignment horizontal="center" vertical="center"/>
    </xf>
    <xf numFmtId="10" fontId="13" fillId="6" borderId="33" xfId="1" applyNumberFormat="1" applyFont="1" applyFill="1" applyBorder="1" applyAlignment="1">
      <alignment horizontal="center" vertical="center"/>
    </xf>
    <xf numFmtId="10" fontId="13" fillId="6" borderId="22" xfId="1" applyNumberFormat="1" applyFont="1" applyFill="1" applyBorder="1" applyAlignment="1">
      <alignment horizontal="center" vertical="center"/>
    </xf>
    <xf numFmtId="10" fontId="13" fillId="3" borderId="21" xfId="1" applyNumberFormat="1" applyFont="1" applyFill="1" applyBorder="1" applyAlignment="1">
      <alignment horizontal="center" vertical="center"/>
    </xf>
    <xf numFmtId="10" fontId="13" fillId="3" borderId="33" xfId="1" applyNumberFormat="1" applyFont="1" applyFill="1" applyBorder="1" applyAlignment="1">
      <alignment horizontal="center" vertical="center"/>
    </xf>
    <xf numFmtId="10" fontId="13" fillId="3" borderId="22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6" borderId="27" xfId="6" applyFont="1" applyFill="1" applyBorder="1" applyAlignment="1">
      <alignment horizontal="right" vertical="center"/>
    </xf>
    <xf numFmtId="0" fontId="13" fillId="6" borderId="48" xfId="6" applyFont="1" applyFill="1" applyBorder="1" applyAlignment="1">
      <alignment horizontal="right" vertical="center"/>
    </xf>
    <xf numFmtId="0" fontId="13" fillId="6" borderId="49" xfId="6" applyFont="1" applyFill="1" applyBorder="1" applyAlignment="1">
      <alignment horizontal="right" vertical="center"/>
    </xf>
    <xf numFmtId="0" fontId="13" fillId="3" borderId="45" xfId="6" applyFont="1" applyFill="1" applyBorder="1" applyAlignment="1">
      <alignment horizontal="center" vertical="center" wrapText="1"/>
    </xf>
    <xf numFmtId="0" fontId="13" fillId="3" borderId="34" xfId="6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3" fillId="3" borderId="28" xfId="6" applyFont="1" applyFill="1" applyBorder="1" applyAlignment="1">
      <alignment horizontal="center" vertical="center" wrapText="1"/>
    </xf>
    <xf numFmtId="0" fontId="13" fillId="3" borderId="24" xfId="6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center" vertical="center" wrapText="1" readingOrder="2"/>
    </xf>
    <xf numFmtId="0" fontId="13" fillId="3" borderId="45" xfId="0" applyFont="1" applyFill="1" applyBorder="1" applyAlignment="1">
      <alignment horizontal="center" vertical="center" wrapText="1" readingOrder="2"/>
    </xf>
    <xf numFmtId="0" fontId="13" fillId="3" borderId="15" xfId="0" applyFont="1" applyFill="1" applyBorder="1" applyAlignment="1">
      <alignment horizontal="center" vertical="center" wrapText="1" readingOrder="2"/>
    </xf>
    <xf numFmtId="0" fontId="13" fillId="3" borderId="34" xfId="0" applyFont="1" applyFill="1" applyBorder="1" applyAlignment="1">
      <alignment horizontal="center" vertical="center" wrapText="1" readingOrder="2"/>
    </xf>
    <xf numFmtId="0" fontId="13" fillId="3" borderId="42" xfId="0" applyFont="1" applyFill="1" applyBorder="1" applyAlignment="1">
      <alignment horizontal="center" vertical="center" readingOrder="2"/>
    </xf>
    <xf numFmtId="0" fontId="13" fillId="3" borderId="35" xfId="0" applyFont="1" applyFill="1" applyBorder="1" applyAlignment="1">
      <alignment horizontal="center" vertical="center" readingOrder="2"/>
    </xf>
    <xf numFmtId="0" fontId="13" fillId="3" borderId="44" xfId="0" applyFont="1" applyFill="1" applyBorder="1" applyAlignment="1">
      <alignment horizontal="center" vertical="center" readingOrder="2"/>
    </xf>
    <xf numFmtId="0" fontId="13" fillId="3" borderId="15" xfId="0" applyFont="1" applyFill="1" applyBorder="1" applyAlignment="1">
      <alignment horizontal="center" vertical="center" readingOrder="2"/>
    </xf>
    <xf numFmtId="0" fontId="13" fillId="6" borderId="13" xfId="0" applyFont="1" applyFill="1" applyBorder="1" applyAlignment="1">
      <alignment horizontal="center" vertical="center" wrapText="1" readingOrder="2"/>
    </xf>
    <xf numFmtId="0" fontId="13" fillId="6" borderId="31" xfId="0" applyFont="1" applyFill="1" applyBorder="1" applyAlignment="1">
      <alignment horizontal="center" vertical="center" wrapText="1" readingOrder="2"/>
    </xf>
    <xf numFmtId="0" fontId="13" fillId="3" borderId="42" xfId="6" applyFont="1" applyFill="1" applyBorder="1" applyAlignment="1">
      <alignment horizontal="center" vertical="center" wrapText="1"/>
    </xf>
    <xf numFmtId="0" fontId="13" fillId="3" borderId="35" xfId="6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readingOrder="2"/>
    </xf>
    <xf numFmtId="0" fontId="13" fillId="3" borderId="24" xfId="0" applyFont="1" applyFill="1" applyBorder="1" applyAlignment="1">
      <alignment horizontal="center" vertical="center" readingOrder="2"/>
    </xf>
    <xf numFmtId="0" fontId="17" fillId="6" borderId="23" xfId="0" applyFont="1" applyFill="1" applyBorder="1" applyAlignment="1">
      <alignment horizontal="center" readingOrder="2"/>
    </xf>
    <xf numFmtId="0" fontId="17" fillId="6" borderId="20" xfId="0" applyFont="1" applyFill="1" applyBorder="1" applyAlignment="1">
      <alignment horizontal="center" readingOrder="2"/>
    </xf>
    <xf numFmtId="0" fontId="17" fillId="6" borderId="23" xfId="0" applyFont="1" applyFill="1" applyBorder="1" applyAlignment="1">
      <alignment horizontal="center" vertical="center" readingOrder="2"/>
    </xf>
    <xf numFmtId="0" fontId="17" fillId="6" borderId="20" xfId="0" applyFont="1" applyFill="1" applyBorder="1" applyAlignment="1">
      <alignment horizontal="center" vertical="center" readingOrder="2"/>
    </xf>
    <xf numFmtId="0" fontId="17" fillId="3" borderId="15" xfId="0" applyFont="1" applyFill="1" applyBorder="1" applyAlignment="1">
      <alignment horizontal="center" vertical="center" readingOrder="2"/>
    </xf>
    <xf numFmtId="0" fontId="17" fillId="3" borderId="43" xfId="0" applyFont="1" applyFill="1" applyBorder="1" applyAlignment="1">
      <alignment horizontal="center" vertical="center" readingOrder="2"/>
    </xf>
    <xf numFmtId="0" fontId="17" fillId="3" borderId="20" xfId="0" applyFont="1" applyFill="1" applyBorder="1" applyAlignment="1">
      <alignment horizontal="center" vertical="center" readingOrder="2"/>
    </xf>
    <xf numFmtId="0" fontId="13" fillId="18" borderId="23" xfId="1" applyFont="1" applyFill="1" applyBorder="1" applyAlignment="1">
      <alignment horizontal="center"/>
    </xf>
    <xf numFmtId="0" fontId="13" fillId="18" borderId="20" xfId="1" applyFont="1" applyFill="1" applyBorder="1" applyAlignment="1">
      <alignment horizontal="center"/>
    </xf>
    <xf numFmtId="0" fontId="13" fillId="3" borderId="39" xfId="1" applyFont="1" applyFill="1" applyBorder="1" applyAlignment="1">
      <alignment horizontal="center"/>
    </xf>
    <xf numFmtId="0" fontId="13" fillId="3" borderId="24" xfId="1" applyFont="1" applyFill="1" applyBorder="1" applyAlignment="1">
      <alignment horizontal="center"/>
    </xf>
    <xf numFmtId="0" fontId="15" fillId="0" borderId="25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59" xfId="1" applyFont="1" applyBorder="1" applyAlignment="1">
      <alignment horizontal="center" vertical="center"/>
    </xf>
    <xf numFmtId="0" fontId="15" fillId="0" borderId="56" xfId="1" applyFont="1" applyBorder="1" applyAlignment="1">
      <alignment horizontal="center" vertical="center" wrapText="1"/>
    </xf>
    <xf numFmtId="0" fontId="15" fillId="0" borderId="57" xfId="1" applyFont="1" applyBorder="1" applyAlignment="1">
      <alignment horizontal="center" vertical="center"/>
    </xf>
    <xf numFmtId="0" fontId="15" fillId="0" borderId="58" xfId="1" applyFont="1" applyBorder="1" applyAlignment="1">
      <alignment horizontal="center" vertical="center"/>
    </xf>
    <xf numFmtId="10" fontId="15" fillId="3" borderId="15" xfId="1" applyNumberFormat="1" applyFont="1" applyFill="1" applyBorder="1" applyAlignment="1">
      <alignment horizontal="center" vertical="center"/>
    </xf>
    <xf numFmtId="10" fontId="15" fillId="3" borderId="34" xfId="1" applyNumberFormat="1" applyFont="1" applyFill="1" applyBorder="1" applyAlignment="1">
      <alignment horizontal="center" vertical="center"/>
    </xf>
    <xf numFmtId="10" fontId="15" fillId="3" borderId="35" xfId="1" applyNumberFormat="1" applyFont="1" applyFill="1" applyBorder="1" applyAlignment="1">
      <alignment horizontal="center" vertical="center"/>
    </xf>
    <xf numFmtId="3" fontId="15" fillId="0" borderId="15" xfId="1" applyNumberFormat="1" applyFont="1" applyBorder="1" applyAlignment="1">
      <alignment horizontal="center" vertical="center"/>
    </xf>
    <xf numFmtId="3" fontId="15" fillId="0" borderId="34" xfId="1" applyNumberFormat="1" applyFont="1" applyBorder="1" applyAlignment="1">
      <alignment horizontal="center" vertical="center"/>
    </xf>
    <xf numFmtId="0" fontId="30" fillId="18" borderId="15" xfId="6" applyFont="1" applyFill="1" applyBorder="1" applyAlignment="1">
      <alignment horizontal="center"/>
    </xf>
    <xf numFmtId="0" fontId="13" fillId="3" borderId="39" xfId="3" applyFont="1" applyFill="1" applyBorder="1" applyAlignment="1">
      <alignment horizontal="center" vertical="center" readingOrder="2"/>
    </xf>
    <xf numFmtId="1" fontId="17" fillId="3" borderId="7" xfId="3" applyNumberFormat="1" applyFont="1" applyFill="1" applyBorder="1" applyAlignment="1">
      <alignment horizontal="center" vertical="center" readingOrder="2"/>
    </xf>
    <xf numFmtId="1" fontId="17" fillId="3" borderId="12" xfId="3" applyNumberFormat="1" applyFont="1" applyFill="1" applyBorder="1" applyAlignment="1">
      <alignment horizontal="center" vertical="center" readingOrder="2"/>
    </xf>
    <xf numFmtId="1" fontId="17" fillId="3" borderId="11" xfId="3" applyNumberFormat="1" applyFont="1" applyFill="1" applyBorder="1" applyAlignment="1">
      <alignment horizontal="center" vertical="center" readingOrder="2"/>
    </xf>
    <xf numFmtId="0" fontId="13" fillId="3" borderId="8" xfId="3" applyFont="1" applyFill="1" applyBorder="1" applyAlignment="1">
      <alignment horizontal="center" vertical="center" wrapText="1" readingOrder="2"/>
    </xf>
    <xf numFmtId="0" fontId="13" fillId="3" borderId="53" xfId="3" applyFont="1" applyFill="1" applyBorder="1" applyAlignment="1">
      <alignment horizontal="center" vertical="center" readingOrder="2"/>
    </xf>
    <xf numFmtId="0" fontId="13" fillId="3" borderId="14" xfId="3" applyFont="1" applyFill="1" applyBorder="1" applyAlignment="1">
      <alignment horizontal="center" vertical="center" readingOrder="2"/>
    </xf>
    <xf numFmtId="0" fontId="17" fillId="8" borderId="7" xfId="3" applyFont="1" applyFill="1" applyBorder="1" applyAlignment="1">
      <alignment horizontal="center" vertical="center"/>
    </xf>
    <xf numFmtId="0" fontId="17" fillId="8" borderId="12" xfId="3" applyFont="1" applyFill="1" applyBorder="1" applyAlignment="1">
      <alignment horizontal="center" vertical="center"/>
    </xf>
    <xf numFmtId="0" fontId="17" fillId="8" borderId="11" xfId="3" applyFont="1" applyFill="1" applyBorder="1" applyAlignment="1">
      <alignment horizontal="center" vertical="center"/>
    </xf>
    <xf numFmtId="39" fontId="15" fillId="0" borderId="15" xfId="4" applyNumberFormat="1" applyFont="1" applyFill="1" applyBorder="1" applyAlignment="1">
      <alignment horizontal="center" vertical="center" readingOrder="2"/>
    </xf>
    <xf numFmtId="39" fontId="15" fillId="0" borderId="31" xfId="4" applyNumberFormat="1" applyFont="1" applyFill="1" applyBorder="1" applyAlignment="1">
      <alignment horizontal="center" vertical="center" readingOrder="2"/>
    </xf>
    <xf numFmtId="0" fontId="18" fillId="7" borderId="7" xfId="6" applyFont="1" applyFill="1" applyBorder="1" applyAlignment="1">
      <alignment horizontal="center" vertical="center"/>
    </xf>
    <xf numFmtId="0" fontId="18" fillId="7" borderId="12" xfId="6" applyFont="1" applyFill="1" applyBorder="1" applyAlignment="1">
      <alignment horizontal="center" vertical="center"/>
    </xf>
    <xf numFmtId="0" fontId="18" fillId="7" borderId="11" xfId="6" applyFont="1" applyFill="1" applyBorder="1" applyAlignment="1">
      <alignment horizontal="center" vertical="center"/>
    </xf>
    <xf numFmtId="0" fontId="17" fillId="5" borderId="7" xfId="3" applyFont="1" applyFill="1" applyBorder="1" applyAlignment="1">
      <alignment horizontal="center" vertical="center"/>
    </xf>
    <xf numFmtId="0" fontId="17" fillId="5" borderId="12" xfId="3" applyFont="1" applyFill="1" applyBorder="1" applyAlignment="1">
      <alignment horizontal="center" vertical="center"/>
    </xf>
    <xf numFmtId="0" fontId="17" fillId="5" borderId="11" xfId="3" applyFont="1" applyFill="1" applyBorder="1" applyAlignment="1">
      <alignment horizontal="center" vertical="center"/>
    </xf>
    <xf numFmtId="0" fontId="17" fillId="9" borderId="7" xfId="3" applyFont="1" applyFill="1" applyBorder="1" applyAlignment="1">
      <alignment horizontal="center" vertical="center"/>
    </xf>
    <xf numFmtId="0" fontId="17" fillId="9" borderId="12" xfId="3" applyFont="1" applyFill="1" applyBorder="1" applyAlignment="1">
      <alignment horizontal="center" vertical="center"/>
    </xf>
    <xf numFmtId="0" fontId="17" fillId="10" borderId="12" xfId="3" applyFont="1" applyFill="1" applyBorder="1" applyAlignment="1">
      <alignment horizontal="center" vertical="center"/>
    </xf>
    <xf numFmtId="0" fontId="17" fillId="11" borderId="7" xfId="3" applyFont="1" applyFill="1" applyBorder="1" applyAlignment="1">
      <alignment horizontal="center" vertical="center"/>
    </xf>
    <xf numFmtId="0" fontId="17" fillId="11" borderId="12" xfId="3" applyFont="1" applyFill="1" applyBorder="1" applyAlignment="1">
      <alignment horizontal="center" vertical="center"/>
    </xf>
    <xf numFmtId="0" fontId="17" fillId="11" borderId="11" xfId="3" applyFont="1" applyFill="1" applyBorder="1" applyAlignment="1">
      <alignment horizontal="center" vertical="center"/>
    </xf>
    <xf numFmtId="0" fontId="16" fillId="5" borderId="35" xfId="3" applyFont="1" applyFill="1" applyBorder="1" applyAlignment="1">
      <alignment horizontal="center" vertical="center"/>
    </xf>
    <xf numFmtId="0" fontId="16" fillId="5" borderId="15" xfId="3" applyFont="1" applyFill="1" applyBorder="1" applyAlignment="1">
      <alignment horizontal="center" vertical="center"/>
    </xf>
    <xf numFmtId="1" fontId="17" fillId="3" borderId="16" xfId="3" applyNumberFormat="1" applyFont="1" applyFill="1" applyBorder="1" applyAlignment="1">
      <alignment horizontal="center" vertical="center" readingOrder="2"/>
    </xf>
    <xf numFmtId="1" fontId="17" fillId="3" borderId="18" xfId="3" applyNumberFormat="1" applyFont="1" applyFill="1" applyBorder="1" applyAlignment="1">
      <alignment horizontal="center" vertical="center" readingOrder="2"/>
    </xf>
    <xf numFmtId="0" fontId="13" fillId="3" borderId="9" xfId="3" applyFont="1" applyFill="1" applyBorder="1" applyAlignment="1">
      <alignment horizontal="center" vertical="center" readingOrder="2"/>
    </xf>
    <xf numFmtId="0" fontId="13" fillId="3" borderId="16" xfId="3" applyFont="1" applyFill="1" applyBorder="1" applyAlignment="1">
      <alignment horizontal="center" vertical="center" readingOrder="2"/>
    </xf>
    <xf numFmtId="0" fontId="13" fillId="3" borderId="18" xfId="3" applyFont="1" applyFill="1" applyBorder="1" applyAlignment="1">
      <alignment horizontal="center" vertical="center" readingOrder="2"/>
    </xf>
    <xf numFmtId="3" fontId="26" fillId="16" borderId="7" xfId="3" applyNumberFormat="1" applyFont="1" applyFill="1" applyBorder="1" applyAlignment="1">
      <alignment horizontal="center" vertical="center" readingOrder="2"/>
    </xf>
    <xf numFmtId="3" fontId="26" fillId="16" borderId="12" xfId="3" applyNumberFormat="1" applyFont="1" applyFill="1" applyBorder="1" applyAlignment="1">
      <alignment horizontal="center" vertical="center" readingOrder="2"/>
    </xf>
    <xf numFmtId="3" fontId="26" fillId="16" borderId="11" xfId="3" applyNumberFormat="1" applyFont="1" applyFill="1" applyBorder="1" applyAlignment="1">
      <alignment horizontal="center" vertical="center" readingOrder="2"/>
    </xf>
    <xf numFmtId="0" fontId="16" fillId="8" borderId="44" xfId="3" applyFont="1" applyFill="1" applyBorder="1" applyAlignment="1">
      <alignment horizontal="center" vertical="center"/>
    </xf>
    <xf numFmtId="0" fontId="16" fillId="12" borderId="44" xfId="3" applyFont="1" applyFill="1" applyBorder="1" applyAlignment="1">
      <alignment horizontal="center" vertical="center"/>
    </xf>
    <xf numFmtId="0" fontId="16" fillId="12" borderId="45" xfId="3" applyFont="1" applyFill="1" applyBorder="1" applyAlignment="1">
      <alignment horizontal="center" vertical="center"/>
    </xf>
    <xf numFmtId="0" fontId="16" fillId="9" borderId="15" xfId="3" applyFont="1" applyFill="1" applyBorder="1" applyAlignment="1">
      <alignment horizontal="center" vertical="center"/>
    </xf>
    <xf numFmtId="0" fontId="16" fillId="10" borderId="15" xfId="3" applyFont="1" applyFill="1" applyBorder="1" applyAlignment="1">
      <alignment horizontal="center" vertical="center"/>
    </xf>
    <xf numFmtId="0" fontId="16" fillId="11" borderId="15" xfId="3" applyFont="1" applyFill="1" applyBorder="1" applyAlignment="1">
      <alignment horizontal="center" vertical="center"/>
    </xf>
    <xf numFmtId="0" fontId="16" fillId="11" borderId="34" xfId="3" applyFont="1" applyFill="1" applyBorder="1" applyAlignment="1">
      <alignment horizontal="center" vertical="center"/>
    </xf>
    <xf numFmtId="0" fontId="13" fillId="3" borderId="8" xfId="3" applyFont="1" applyFill="1" applyBorder="1" applyAlignment="1">
      <alignment horizontal="center" vertical="center" readingOrder="2"/>
    </xf>
    <xf numFmtId="0" fontId="17" fillId="11" borderId="62" xfId="3" applyFont="1" applyFill="1" applyBorder="1" applyAlignment="1">
      <alignment horizontal="center" vertical="center"/>
    </xf>
    <xf numFmtId="0" fontId="17" fillId="11" borderId="60" xfId="3" applyFont="1" applyFill="1" applyBorder="1" applyAlignment="1">
      <alignment horizontal="center" vertical="center"/>
    </xf>
    <xf numFmtId="0" fontId="17" fillId="11" borderId="6" xfId="3" applyFont="1" applyFill="1" applyBorder="1" applyAlignment="1">
      <alignment horizontal="center" vertical="center"/>
    </xf>
    <xf numFmtId="0" fontId="17" fillId="12" borderId="7" xfId="3" applyFont="1" applyFill="1" applyBorder="1" applyAlignment="1">
      <alignment horizontal="center" vertical="center"/>
    </xf>
    <xf numFmtId="0" fontId="17" fillId="12" borderId="12" xfId="3" applyFont="1" applyFill="1" applyBorder="1" applyAlignment="1">
      <alignment horizontal="center" vertical="center"/>
    </xf>
    <xf numFmtId="0" fontId="17" fillId="12" borderId="11" xfId="3" applyFont="1" applyFill="1" applyBorder="1" applyAlignment="1">
      <alignment horizontal="center" vertical="center"/>
    </xf>
    <xf numFmtId="0" fontId="17" fillId="10" borderId="7" xfId="3" applyFont="1" applyFill="1" applyBorder="1" applyAlignment="1">
      <alignment horizontal="center" vertical="center"/>
    </xf>
    <xf numFmtId="0" fontId="17" fillId="10" borderId="11" xfId="3" applyFont="1" applyFill="1" applyBorder="1" applyAlignment="1">
      <alignment horizontal="center" vertical="center"/>
    </xf>
    <xf numFmtId="3" fontId="13" fillId="5" borderId="64" xfId="3" applyNumberFormat="1" applyFont="1" applyFill="1" applyBorder="1" applyAlignment="1">
      <alignment horizontal="center" vertical="center" readingOrder="2"/>
    </xf>
    <xf numFmtId="3" fontId="13" fillId="5" borderId="60" xfId="3" applyNumberFormat="1" applyFont="1" applyFill="1" applyBorder="1" applyAlignment="1">
      <alignment horizontal="center" vertical="center" readingOrder="2"/>
    </xf>
    <xf numFmtId="3" fontId="13" fillId="5" borderId="6" xfId="3" applyNumberFormat="1" applyFont="1" applyFill="1" applyBorder="1" applyAlignment="1">
      <alignment horizontal="center" vertical="center" readingOrder="2"/>
    </xf>
    <xf numFmtId="3" fontId="13" fillId="8" borderId="7" xfId="3" applyNumberFormat="1" applyFont="1" applyFill="1" applyBorder="1" applyAlignment="1">
      <alignment horizontal="center" vertical="center" readingOrder="2"/>
    </xf>
    <xf numFmtId="3" fontId="13" fillId="8" borderId="12" xfId="3" applyNumberFormat="1" applyFont="1" applyFill="1" applyBorder="1" applyAlignment="1">
      <alignment horizontal="center" vertical="center" readingOrder="2"/>
    </xf>
    <xf numFmtId="3" fontId="13" fillId="8" borderId="11" xfId="3" applyNumberFormat="1" applyFont="1" applyFill="1" applyBorder="1" applyAlignment="1">
      <alignment horizontal="center" vertical="center" readingOrder="2"/>
    </xf>
    <xf numFmtId="1" fontId="17" fillId="3" borderId="9" xfId="3" applyNumberFormat="1" applyFont="1" applyFill="1" applyBorder="1" applyAlignment="1">
      <alignment horizontal="center" vertical="center" readingOrder="2"/>
    </xf>
    <xf numFmtId="0" fontId="13" fillId="0" borderId="35" xfId="3" applyFont="1" applyBorder="1" applyAlignment="1">
      <alignment horizontal="center" vertical="center" readingOrder="2"/>
    </xf>
    <xf numFmtId="0" fontId="13" fillId="0" borderId="13" xfId="3" applyFont="1" applyBorder="1" applyAlignment="1">
      <alignment horizontal="center" vertical="center" readingOrder="2"/>
    </xf>
    <xf numFmtId="0" fontId="13" fillId="0" borderId="36" xfId="3" applyFont="1" applyBorder="1" applyAlignment="1">
      <alignment horizontal="center" vertical="center" readingOrder="2"/>
    </xf>
    <xf numFmtId="0" fontId="13" fillId="0" borderId="50" xfId="3" applyFont="1" applyBorder="1" applyAlignment="1">
      <alignment horizontal="center" vertical="center" readingOrder="2"/>
    </xf>
    <xf numFmtId="0" fontId="13" fillId="0" borderId="39" xfId="3" applyFont="1" applyBorder="1" applyAlignment="1">
      <alignment horizontal="center" vertical="center" readingOrder="2"/>
    </xf>
    <xf numFmtId="0" fontId="30" fillId="5" borderId="7" xfId="0" applyFont="1" applyFill="1" applyBorder="1" applyAlignment="1">
      <alignment horizontal="center"/>
    </xf>
    <xf numFmtId="0" fontId="30" fillId="5" borderId="11" xfId="0" applyFont="1" applyFill="1" applyBorder="1" applyAlignment="1">
      <alignment horizontal="center"/>
    </xf>
    <xf numFmtId="0" fontId="13" fillId="6" borderId="35" xfId="0" applyFont="1" applyFill="1" applyBorder="1" applyAlignment="1">
      <alignment horizontal="center" readingOrder="2"/>
    </xf>
    <xf numFmtId="0" fontId="13" fillId="6" borderId="15" xfId="0" applyFont="1" applyFill="1" applyBorder="1" applyAlignment="1">
      <alignment horizontal="center" readingOrder="2"/>
    </xf>
    <xf numFmtId="0" fontId="13" fillId="6" borderId="13" xfId="0" applyFont="1" applyFill="1" applyBorder="1" applyAlignment="1">
      <alignment horizontal="center" readingOrder="2"/>
    </xf>
    <xf numFmtId="0" fontId="13" fillId="6" borderId="31" xfId="0" applyFont="1" applyFill="1" applyBorder="1" applyAlignment="1">
      <alignment horizontal="center" readingOrder="2"/>
    </xf>
    <xf numFmtId="0" fontId="13" fillId="3" borderId="45" xfId="0" applyFont="1" applyFill="1" applyBorder="1" applyAlignment="1">
      <alignment horizontal="center" vertical="center" readingOrder="2"/>
    </xf>
    <xf numFmtId="0" fontId="13" fillId="6" borderId="7" xfId="6" applyFont="1" applyFill="1" applyBorder="1" applyAlignment="1">
      <alignment horizontal="center" vertical="center"/>
    </xf>
    <xf numFmtId="0" fontId="13" fillId="6" borderId="12" xfId="6" applyFont="1" applyFill="1" applyBorder="1" applyAlignment="1">
      <alignment horizontal="center" vertical="center"/>
    </xf>
    <xf numFmtId="0" fontId="13" fillId="6" borderId="11" xfId="6" applyFont="1" applyFill="1" applyBorder="1" applyAlignment="1">
      <alignment horizontal="center" vertical="center"/>
    </xf>
    <xf numFmtId="0" fontId="15" fillId="3" borderId="4" xfId="6" applyFont="1" applyFill="1" applyBorder="1" applyAlignment="1">
      <alignment horizontal="center" vertical="center" wrapText="1"/>
    </xf>
    <xf numFmtId="0" fontId="15" fillId="3" borderId="10" xfId="6" applyFont="1" applyFill="1" applyBorder="1" applyAlignment="1">
      <alignment horizontal="center" vertical="center" wrapText="1"/>
    </xf>
    <xf numFmtId="0" fontId="15" fillId="3" borderId="8" xfId="6" applyFont="1" applyFill="1" applyBorder="1" applyAlignment="1">
      <alignment horizontal="center" vertical="center" wrapText="1"/>
    </xf>
    <xf numFmtId="0" fontId="15" fillId="3" borderId="14" xfId="6" applyFont="1" applyFill="1" applyBorder="1" applyAlignment="1">
      <alignment horizontal="center" vertical="center" wrapText="1"/>
    </xf>
    <xf numFmtId="0" fontId="13" fillId="3" borderId="7" xfId="6" applyFont="1" applyFill="1" applyBorder="1" applyAlignment="1">
      <alignment horizontal="center" vertical="center"/>
    </xf>
    <xf numFmtId="0" fontId="13" fillId="3" borderId="12" xfId="6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3" fontId="13" fillId="6" borderId="7" xfId="6" applyNumberFormat="1" applyFont="1" applyFill="1" applyBorder="1" applyAlignment="1">
      <alignment horizontal="center" vertical="center"/>
    </xf>
    <xf numFmtId="3" fontId="13" fillId="6" borderId="12" xfId="6" applyNumberFormat="1" applyFont="1" applyFill="1" applyBorder="1" applyAlignment="1">
      <alignment horizontal="center" vertical="center"/>
    </xf>
    <xf numFmtId="3" fontId="13" fillId="6" borderId="30" xfId="6" applyNumberFormat="1" applyFont="1" applyFill="1" applyBorder="1" applyAlignment="1">
      <alignment horizontal="center" vertical="center"/>
    </xf>
    <xf numFmtId="0" fontId="13" fillId="3" borderId="9" xfId="6" applyFont="1" applyFill="1" applyBorder="1" applyAlignment="1">
      <alignment horizontal="center" vertical="center"/>
    </xf>
    <xf numFmtId="0" fontId="13" fillId="3" borderId="16" xfId="6" applyFont="1" applyFill="1" applyBorder="1" applyAlignment="1">
      <alignment horizontal="center" vertical="center"/>
    </xf>
    <xf numFmtId="0" fontId="13" fillId="3" borderId="18" xfId="6" applyFont="1" applyFill="1" applyBorder="1" applyAlignment="1">
      <alignment horizontal="center" vertical="center"/>
    </xf>
    <xf numFmtId="0" fontId="15" fillId="3" borderId="5" xfId="6" applyFont="1" applyFill="1" applyBorder="1" applyAlignment="1">
      <alignment horizontal="center" vertical="center" wrapText="1"/>
    </xf>
    <xf numFmtId="0" fontId="15" fillId="3" borderId="18" xfId="6" applyFont="1" applyFill="1" applyBorder="1" applyAlignment="1">
      <alignment horizontal="center" vertical="center" wrapText="1"/>
    </xf>
    <xf numFmtId="0" fontId="15" fillId="3" borderId="6" xfId="6" applyFont="1" applyFill="1" applyBorder="1" applyAlignment="1">
      <alignment horizontal="center" vertical="center" wrapText="1"/>
    </xf>
    <xf numFmtId="0" fontId="16" fillId="6" borderId="32" xfId="3" applyFont="1" applyFill="1" applyBorder="1" applyAlignment="1">
      <alignment horizontal="center"/>
    </xf>
    <xf numFmtId="0" fontId="16" fillId="6" borderId="40" xfId="3" applyFont="1" applyFill="1" applyBorder="1" applyAlignment="1">
      <alignment horizontal="center"/>
    </xf>
    <xf numFmtId="0" fontId="16" fillId="6" borderId="47" xfId="3" applyFont="1" applyFill="1" applyBorder="1" applyAlignment="1">
      <alignment horizontal="center"/>
    </xf>
    <xf numFmtId="0" fontId="16" fillId="3" borderId="44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/>
    </xf>
    <xf numFmtId="0" fontId="16" fillId="3" borderId="34" xfId="3" applyFont="1" applyFill="1" applyBorder="1" applyAlignment="1">
      <alignment horizontal="center" vertical="center"/>
    </xf>
    <xf numFmtId="0" fontId="16" fillId="3" borderId="42" xfId="3" applyFont="1" applyFill="1" applyBorder="1" applyAlignment="1">
      <alignment horizontal="center" vertical="center"/>
    </xf>
    <xf numFmtId="0" fontId="16" fillId="3" borderId="35" xfId="3" applyFont="1" applyFill="1" applyBorder="1" applyAlignment="1">
      <alignment horizontal="center" vertical="center"/>
    </xf>
    <xf numFmtId="0" fontId="16" fillId="3" borderId="15" xfId="3" applyFont="1" applyFill="1" applyBorder="1" applyAlignment="1">
      <alignment horizontal="center"/>
    </xf>
    <xf numFmtId="0" fontId="13" fillId="3" borderId="42" xfId="1" applyFont="1" applyFill="1" applyBorder="1" applyAlignment="1">
      <alignment horizontal="center" vertical="center"/>
    </xf>
    <xf numFmtId="0" fontId="13" fillId="3" borderId="44" xfId="1" applyFont="1" applyFill="1" applyBorder="1" applyAlignment="1">
      <alignment horizontal="center" vertical="center"/>
    </xf>
    <xf numFmtId="0" fontId="13" fillId="3" borderId="45" xfId="1" applyFont="1" applyFill="1" applyBorder="1" applyAlignment="1">
      <alignment horizontal="center" vertical="center"/>
    </xf>
    <xf numFmtId="3" fontId="13" fillId="6" borderId="13" xfId="0" applyNumberFormat="1" applyFont="1" applyFill="1" applyBorder="1" applyAlignment="1">
      <alignment horizontal="center" readingOrder="2"/>
    </xf>
    <xf numFmtId="3" fontId="13" fillId="6" borderId="31" xfId="0" applyNumberFormat="1" applyFont="1" applyFill="1" applyBorder="1" applyAlignment="1">
      <alignment horizontal="center" readingOrder="2"/>
    </xf>
    <xf numFmtId="0" fontId="13" fillId="3" borderId="34" xfId="0" applyFont="1" applyFill="1" applyBorder="1" applyAlignment="1">
      <alignment horizontal="center" vertical="center" readingOrder="2"/>
    </xf>
    <xf numFmtId="0" fontId="16" fillId="6" borderId="13" xfId="3" applyFont="1" applyFill="1" applyBorder="1" applyAlignment="1">
      <alignment horizontal="center" vertical="center"/>
    </xf>
    <xf numFmtId="0" fontId="16" fillId="6" borderId="31" xfId="3" applyFont="1" applyFill="1" applyBorder="1" applyAlignment="1">
      <alignment horizontal="center" vertical="center"/>
    </xf>
    <xf numFmtId="0" fontId="15" fillId="3" borderId="15" xfId="6" applyFont="1" applyFill="1" applyBorder="1" applyAlignment="1">
      <alignment horizontal="center" vertical="center" wrapText="1"/>
    </xf>
    <xf numFmtId="0" fontId="15" fillId="3" borderId="34" xfId="6" applyFont="1" applyFill="1" applyBorder="1" applyAlignment="1">
      <alignment horizontal="center" vertical="center" wrapText="1"/>
    </xf>
    <xf numFmtId="0" fontId="15" fillId="3" borderId="35" xfId="6" applyFont="1" applyFill="1" applyBorder="1" applyAlignment="1">
      <alignment horizontal="center" vertical="center" wrapText="1"/>
    </xf>
    <xf numFmtId="0" fontId="13" fillId="3" borderId="42" xfId="6" applyFont="1" applyFill="1" applyBorder="1" applyAlignment="1">
      <alignment horizontal="center" vertical="center"/>
    </xf>
    <xf numFmtId="0" fontId="13" fillId="3" borderId="44" xfId="6" applyFont="1" applyFill="1" applyBorder="1" applyAlignment="1">
      <alignment horizontal="center" vertical="center"/>
    </xf>
    <xf numFmtId="0" fontId="13" fillId="3" borderId="45" xfId="6" applyFont="1" applyFill="1" applyBorder="1" applyAlignment="1">
      <alignment horizontal="center" vertical="center"/>
    </xf>
    <xf numFmtId="0" fontId="13" fillId="6" borderId="32" xfId="6" applyFont="1" applyFill="1" applyBorder="1" applyAlignment="1">
      <alignment horizontal="center" vertical="center"/>
    </xf>
    <xf numFmtId="0" fontId="13" fillId="6" borderId="40" xfId="6" applyFont="1" applyFill="1" applyBorder="1" applyAlignment="1">
      <alignment horizontal="center" vertical="center"/>
    </xf>
    <xf numFmtId="0" fontId="13" fillId="6" borderId="47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33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3" fontId="13" fillId="6" borderId="13" xfId="6" applyNumberFormat="1" applyFont="1" applyFill="1" applyBorder="1" applyAlignment="1">
      <alignment horizontal="center" vertical="center"/>
    </xf>
    <xf numFmtId="3" fontId="13" fillId="6" borderId="31" xfId="6" applyNumberFormat="1" applyFont="1" applyFill="1" applyBorder="1" applyAlignment="1">
      <alignment horizontal="center" vertical="center"/>
    </xf>
    <xf numFmtId="3" fontId="13" fillId="6" borderId="32" xfId="6" applyNumberFormat="1" applyFont="1" applyFill="1" applyBorder="1" applyAlignment="1">
      <alignment horizontal="center" vertical="center"/>
    </xf>
    <xf numFmtId="3" fontId="13" fillId="6" borderId="40" xfId="6" applyNumberFormat="1" applyFont="1" applyFill="1" applyBorder="1" applyAlignment="1">
      <alignment horizontal="center" vertical="center"/>
    </xf>
    <xf numFmtId="3" fontId="13" fillId="6" borderId="47" xfId="6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3" fillId="6" borderId="13" xfId="2" applyFont="1" applyFill="1" applyBorder="1" applyAlignment="1">
      <alignment horizontal="center"/>
    </xf>
    <xf numFmtId="0" fontId="13" fillId="6" borderId="31" xfId="2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3" borderId="45" xfId="0" applyFont="1" applyFill="1" applyBorder="1" applyAlignment="1">
      <alignment horizontal="center" vertical="center"/>
    </xf>
  </cellXfs>
  <cellStyles count="11">
    <cellStyle name="Comma" xfId="4" builtinId="3"/>
    <cellStyle name="Comma 2" xfId="7" xr:uid="{00000000-0005-0000-0000-000001000000}"/>
    <cellStyle name="Normal" xfId="0" builtinId="0"/>
    <cellStyle name="Normal 2" xfId="9" xr:uid="{00000000-0005-0000-0000-000003000000}"/>
    <cellStyle name="Normal 3" xfId="3" xr:uid="{00000000-0005-0000-0000-000004000000}"/>
    <cellStyle name="Normal_208-EVA-FA-01" xfId="1" xr:uid="{00000000-0005-0000-0000-000005000000}"/>
    <cellStyle name="Normal_208-EVA-FA-02" xfId="2" xr:uid="{00000000-0005-0000-0000-000006000000}"/>
    <cellStyle name="Normal_208-EVA-FA-02 2" xfId="6" xr:uid="{00000000-0005-0000-0000-000007000000}"/>
    <cellStyle name="Normal_نتايج " xfId="10" xr:uid="{FFA60643-39DB-4923-BA9F-418D3E7CF9A8}"/>
    <cellStyle name="Percent" xfId="5" builtinId="5"/>
    <cellStyle name="Percent 2" xfId="8" xr:uid="{00000000-0005-0000-0000-00000A000000}"/>
  </cellStyles>
  <dxfs count="2">
    <dxf>
      <numFmt numFmtId="0" formatCode="General"/>
    </dxf>
    <dxf>
      <numFmt numFmtId="27" formatCode="yyyy/mm/dd\ h:mm"/>
    </dxf>
  </dxfs>
  <tableStyles count="0" defaultTableStyle="TableStyleMedium9" defaultPivotStyle="PivotStyleLight16"/>
  <colors>
    <mruColors>
      <color rgb="FFFFD44B"/>
      <color rgb="FF00FFFF"/>
      <color rgb="FF00CC99"/>
      <color rgb="FFC6D9F0"/>
      <color rgb="FFCC99FF"/>
      <color rgb="FFFFFFCC"/>
      <color rgb="FF00FFCC"/>
      <color rgb="FF007033"/>
      <color rgb="FF004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Relationship Id="rId43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sng" strike="noStrike" kern="1200" spc="0" baseline="0">
                <a:solidFill>
                  <a:srgbClr val="C00000"/>
                </a:solidFill>
                <a:latin typeface="A Iranian Sans" panose="01000500000000020002" pitchFamily="2" charset="-78"/>
                <a:ea typeface="+mn-ea"/>
                <a:cs typeface="B Nazanin" panose="00000400000000000000" pitchFamily="2" charset="-78"/>
              </a:defRPr>
            </a:pPr>
            <a:r>
              <a:rPr lang="fa-IR" b="1" u="sng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اعداد</a:t>
            </a:r>
            <a:r>
              <a:rPr lang="fa-IR" b="1" u="sng" baseline="0">
                <a:solidFill>
                  <a:srgbClr val="C00000"/>
                </a:solidFill>
                <a:latin typeface="A Iranian Sans" panose="01000500000000020002" pitchFamily="2" charset="-78"/>
                <a:cs typeface="B Nazanin" panose="00000400000000000000" pitchFamily="2" charset="-78"/>
              </a:rPr>
              <a:t> به دلار</a:t>
            </a:r>
            <a:endParaRPr lang="en-US" b="1" u="sng">
              <a:solidFill>
                <a:srgbClr val="C00000"/>
              </a:solidFill>
              <a:latin typeface="A Iranian Sans" panose="01000500000000020002" pitchFamily="2" charset="-78"/>
              <a:cs typeface="B Nazanin" panose="00000400000000000000" pitchFamily="2" charset="-78"/>
            </a:endParaRPr>
          </a:p>
        </c:rich>
      </c:tx>
      <c:layout>
        <c:manualLayout>
          <c:xMode val="edge"/>
          <c:yMode val="edge"/>
          <c:x val="0.89435429175587366"/>
          <c:y val="0.902535976249638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sng" strike="noStrike" kern="1200" spc="0" baseline="0">
              <a:solidFill>
                <a:srgbClr val="C00000"/>
              </a:solidFill>
              <a:latin typeface="A Iranian Sans" panose="01000500000000020002" pitchFamily="2" charset="-78"/>
              <a:ea typeface="+mn-ea"/>
              <a:cs typeface="B Nazanin" panose="00000400000000000000" pitchFamily="2" charset="-78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8357439699929458E-2"/>
          <c:y val="2.3419416843486588E-2"/>
          <c:w val="0.79783396112860039"/>
          <c:h val="0.779337705937547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جریان خالص نقدی'!$B$22</c:f>
              <c:strCache>
                <c:ptCount val="1"/>
                <c:pt idx="0">
                  <c:v>جريان نقدي آزاد</c:v>
                </c:pt>
              </c:strCache>
            </c:strRef>
          </c:tx>
          <c:spPr>
            <a:solidFill>
              <a:schemeClr val="accent1"/>
            </a:solidFill>
            <a:ln w="50800">
              <a:solidFill>
                <a:schemeClr val="accent1"/>
              </a:solidFill>
            </a:ln>
            <a:effectLst/>
          </c:spPr>
          <c:invertIfNegative val="0"/>
          <c:cat>
            <c:numRef>
              <c:f>' جریان خالص نقدی'!$C$6:$Q$6</c:f>
              <c:numCache>
                <c:formatCode>General</c:formatCode>
                <c:ptCount val="1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</c:numCache>
            </c:numRef>
          </c:cat>
          <c:val>
            <c:numRef>
              <c:f>' جریان خالص نقدی'!$C$22:$Q$22</c:f>
              <c:numCache>
                <c:formatCode>#,##0_);[Red]\(#,##0\)</c:formatCode>
                <c:ptCount val="15"/>
                <c:pt idx="0">
                  <c:v>-4109873.6376454984</c:v>
                </c:pt>
                <c:pt idx="1">
                  <c:v>1032476.4816997024</c:v>
                </c:pt>
                <c:pt idx="2">
                  <c:v>1634005.3451272021</c:v>
                </c:pt>
                <c:pt idx="3">
                  <c:v>726013.92633961677</c:v>
                </c:pt>
                <c:pt idx="4">
                  <c:v>776152.06070276571</c:v>
                </c:pt>
                <c:pt idx="5">
                  <c:v>829882.04686954117</c:v>
                </c:pt>
                <c:pt idx="6">
                  <c:v>884957.58503563562</c:v>
                </c:pt>
                <c:pt idx="7">
                  <c:v>336993.59529011202</c:v>
                </c:pt>
                <c:pt idx="8" formatCode="#,##0">
                  <c:v>383904.36379519175</c:v>
                </c:pt>
                <c:pt idx="9" formatCode="#,##0">
                  <c:v>434619.15579426044</c:v>
                </c:pt>
                <c:pt idx="10" formatCode="#,##0">
                  <c:v>488282.78065371531</c:v>
                </c:pt>
                <c:pt idx="11" formatCode="#,##0">
                  <c:v>117350.60754364092</c:v>
                </c:pt>
                <c:pt idx="12" formatCode="#,##0">
                  <c:v>122630.87994966979</c:v>
                </c:pt>
                <c:pt idx="13" formatCode="#,##0">
                  <c:v>128187.38680868076</c:v>
                </c:pt>
                <c:pt idx="14" formatCode="#,##0">
                  <c:v>133268.78792548363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4284175"/>
        <c:axId val="2094292815"/>
      </c:barChart>
      <c:scatterChart>
        <c:scatterStyle val="smoothMarker"/>
        <c:varyColors val="0"/>
        <c:ser>
          <c:idx val="1"/>
          <c:order val="1"/>
          <c:tx>
            <c:strRef>
              <c:f>' جریان خالص نقدی'!$B$25</c:f>
              <c:strCache>
                <c:ptCount val="1"/>
                <c:pt idx="0">
                  <c:v>جریان نقدی تجمعی تنزیل‌شده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  <a:headEnd w="lg" len="lg"/>
              <a:tailEnd type="stealth" w="lg" len="lg"/>
            </a:ln>
            <a:effectLst/>
          </c:spPr>
          <c:marker>
            <c:symbol val="none"/>
          </c:marker>
          <c:xVal>
            <c:numRef>
              <c:f>' جریان خالص نقدی'!#REF!</c:f>
            </c:numRef>
          </c:xVal>
          <c:yVal>
            <c:numRef>
              <c:f>' جریان خالص نقدی'!$C$25:$Q$25</c:f>
              <c:numCache>
                <c:formatCode>#,##0_);[Red]\(#,##0\)</c:formatCode>
                <c:ptCount val="15"/>
                <c:pt idx="0">
                  <c:v>-4109873.6376454984</c:v>
                </c:pt>
                <c:pt idx="1">
                  <c:v>-3135839.2209476661</c:v>
                </c:pt>
                <c:pt idx="2">
                  <c:v>-1681580.280820217</c:v>
                </c:pt>
                <c:pt idx="3">
                  <c:v>-1072004.9885154818</c:v>
                </c:pt>
                <c:pt idx="4">
                  <c:v>-457219.85952368972</c:v>
                </c:pt>
                <c:pt idx="5">
                  <c:v>162916.28251438704</c:v>
                </c:pt>
                <c:pt idx="6">
                  <c:v>786776.45992729953</c:v>
                </c:pt>
                <c:pt idx="7">
                  <c:v>1010896.4477201551</c:v>
                </c:pt>
                <c:pt idx="8">
                  <c:v>1251762.7949773716</c:v>
                </c:pt>
                <c:pt idx="9">
                  <c:v>1509013.2055127108</c:v>
                </c:pt>
                <c:pt idx="10">
                  <c:v>1781667.7598873356</c:v>
                </c:pt>
                <c:pt idx="11">
                  <c:v>1843486.5960384535</c:v>
                </c:pt>
                <c:pt idx="12">
                  <c:v>1904430.3864019285</c:v>
                </c:pt>
                <c:pt idx="13">
                  <c:v>1964529.6354971256</c:v>
                </c:pt>
                <c:pt idx="14">
                  <c:v>2023474.548918277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64-4176-873D-BCEDB88819A1}"/>
            </c:ext>
          </c:extLst>
        </c:ser>
        <c:ser>
          <c:idx val="2"/>
          <c:order val="2"/>
          <c:tx>
            <c:strRef>
              <c:f>' جریان خالص نقدی'!$B$23</c:f>
              <c:strCache>
                <c:ptCount val="1"/>
                <c:pt idx="0">
                  <c:v>‎‏ خالص جريانات نقدي تجمعي‎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44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64-4176-873D-BCEDB88819A1}"/>
              </c:ext>
            </c:extLst>
          </c:dPt>
          <c:dPt>
            <c:idx val="45"/>
            <c:marker>
              <c:symbol val="none"/>
            </c:marker>
            <c:bubble3D val="0"/>
            <c:spPr>
              <a:ln w="28575" cap="rnd">
                <a:solidFill>
                  <a:schemeClr val="accent3"/>
                </a:solidFill>
                <a:round/>
                <a:headEnd w="lg" len="lg"/>
                <a:tailEnd type="stealth"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64-4176-873D-BCEDB88819A1}"/>
              </c:ext>
            </c:extLst>
          </c:dPt>
          <c:xVal>
            <c:numRef>
              <c:f>' جریان خالص نقدی'!#REF!</c:f>
            </c:numRef>
          </c:xVal>
          <c:yVal>
            <c:numRef>
              <c:f>' جریان خالص نقدی'!$C$23:$Q$23</c:f>
              <c:numCache>
                <c:formatCode>#,##0_);[Red]\(#,##0\)</c:formatCode>
                <c:ptCount val="15"/>
                <c:pt idx="0">
                  <c:v>-4109873.6376454984</c:v>
                </c:pt>
                <c:pt idx="1">
                  <c:v>-3077397.1559457961</c:v>
                </c:pt>
                <c:pt idx="2">
                  <c:v>-1443391.8108185939</c:v>
                </c:pt>
                <c:pt idx="3">
                  <c:v>-717377.88447897718</c:v>
                </c:pt>
                <c:pt idx="4">
                  <c:v>58774.176223788527</c:v>
                </c:pt>
                <c:pt idx="5">
                  <c:v>888656.2230933297</c:v>
                </c:pt>
                <c:pt idx="6">
                  <c:v>1773613.8081289653</c:v>
                </c:pt>
                <c:pt idx="7">
                  <c:v>2110607.4034190774</c:v>
                </c:pt>
                <c:pt idx="8">
                  <c:v>2494511.7672142694</c:v>
                </c:pt>
                <c:pt idx="9">
                  <c:v>2929130.9230085299</c:v>
                </c:pt>
                <c:pt idx="10">
                  <c:v>3417413.7036622451</c:v>
                </c:pt>
                <c:pt idx="11">
                  <c:v>3534764.3112058858</c:v>
                </c:pt>
                <c:pt idx="12">
                  <c:v>3657395.1911555557</c:v>
                </c:pt>
                <c:pt idx="13">
                  <c:v>3785582.5779642365</c:v>
                </c:pt>
                <c:pt idx="14">
                  <c:v>3918851.3658897202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664-4176-873D-BCEDB8881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0555919"/>
        <c:axId val="540563119"/>
      </c:scatterChart>
      <c:catAx>
        <c:axId val="2094284175"/>
        <c:scaling>
          <c:orientation val="minMax"/>
        </c:scaling>
        <c:delete val="0"/>
        <c:axPos val="b"/>
        <c:numFmt formatCode="[$-3020429]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92815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9429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[$-3020429];[Red]\(#,###[$-3020429]\);&quot;-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2094284175"/>
        <c:crosses val="autoZero"/>
        <c:crossBetween val="between"/>
      </c:valAx>
      <c:valAx>
        <c:axId val="540563119"/>
        <c:scaling>
          <c:orientation val="minMax"/>
        </c:scaling>
        <c:delete val="0"/>
        <c:axPos val="r"/>
        <c:numFmt formatCode="#,###[$-3020429];[Red]\(#,###[$-3020429]\);&quot;-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en-US"/>
          </a:p>
        </c:txPr>
        <c:crossAx val="540555919"/>
        <c:crosses val="max"/>
        <c:crossBetween val="midCat"/>
      </c:valAx>
      <c:valAx>
        <c:axId val="5405559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05631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56817490513551"/>
          <c:y val="0.88641349648670431"/>
          <c:w val="0.70853479161600241"/>
          <c:h val="0.11358629397696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پرسياه- نسخه نهايي- سل سام- 14050305.xlsx]پيش بيني هش ريت!PivotTable13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39162867421434"/>
          <c:y val="0.19771461816643196"/>
          <c:w val="0.7109037795269435"/>
          <c:h val="0.5345532010858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'پيش بيني هش ريت'!$E$2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intercept val="0"/>
            <c:dispRSqr val="1"/>
            <c:dispEq val="1"/>
            <c:trendlineLbl>
              <c:layout>
                <c:manualLayout>
                  <c:x val="-0.12809725894065882"/>
                  <c:y val="-1.5708099459859709E-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'پيش بيني هش ريت'!$D$3:$D$126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'پيش بيني هش ريت'!$E$3:$E$126</c:f>
              <c:numCache>
                <c:formatCode>General</c:formatCode>
                <c:ptCount val="113"/>
                <c:pt idx="0">
                  <c:v>2.7294669139663754E+18</c:v>
                </c:pt>
                <c:pt idx="1">
                  <c:v>3.2108406534721219E+18</c:v>
                </c:pt>
                <c:pt idx="2">
                  <c:v>3.4672658015282534E+18</c:v>
                </c:pt>
                <c:pt idx="3">
                  <c:v>3.767457420385514E+18</c:v>
                </c:pt>
                <c:pt idx="4">
                  <c:v>4.3555595051990707E+18</c:v>
                </c:pt>
                <c:pt idx="5">
                  <c:v>5.0374508668265452E+18</c:v>
                </c:pt>
                <c:pt idx="6">
                  <c:v>6.0454370880832543E+18</c:v>
                </c:pt>
                <c:pt idx="7">
                  <c:v>6.3222305608423363E+18</c:v>
                </c:pt>
                <c:pt idx="8">
                  <c:v>7.9391866778223923E+18</c:v>
                </c:pt>
                <c:pt idx="9">
                  <c:v>9.2530546460625039E+18</c:v>
                </c:pt>
                <c:pt idx="10">
                  <c:v>1.0066261101177342E+19</c:v>
                </c:pt>
                <c:pt idx="11">
                  <c:v>1.3276947040549038E+19</c:v>
                </c:pt>
                <c:pt idx="12">
                  <c:v>1.7748914788187396E+19</c:v>
                </c:pt>
                <c:pt idx="13">
                  <c:v>2.2131191416423191E+19</c:v>
                </c:pt>
                <c:pt idx="14">
                  <c:v>2.4828135008372249E+19</c:v>
                </c:pt>
                <c:pt idx="15">
                  <c:v>2.8387134192890585E+19</c:v>
                </c:pt>
                <c:pt idx="16">
                  <c:v>3.1351901128640569E+19</c:v>
                </c:pt>
                <c:pt idx="17">
                  <c:v>3.7194116916247151E+19</c:v>
                </c:pt>
                <c:pt idx="18">
                  <c:v>3.9671253844156391E+19</c:v>
                </c:pt>
                <c:pt idx="19">
                  <c:v>4.8695843431342219E+19</c:v>
                </c:pt>
                <c:pt idx="20">
                  <c:v>5.1322471748378862E+19</c:v>
                </c:pt>
                <c:pt idx="21">
                  <c:v>5.132193322977094E+19</c:v>
                </c:pt>
                <c:pt idx="22">
                  <c:v>4.4562107637042987E+19</c:v>
                </c:pt>
                <c:pt idx="23">
                  <c:v>3.8219304699078181E+19</c:v>
                </c:pt>
                <c:pt idx="24">
                  <c:v>4.1795536443067261E+19</c:v>
                </c:pt>
                <c:pt idx="25">
                  <c:v>4.3733414139816075E+19</c:v>
                </c:pt>
                <c:pt idx="26">
                  <c:v>4.4859815474576908E+19</c:v>
                </c:pt>
                <c:pt idx="27">
                  <c:v>4.5836298200233386E+19</c:v>
                </c:pt>
                <c:pt idx="28">
                  <c:v>5.0604536287875252E+19</c:v>
                </c:pt>
                <c:pt idx="29">
                  <c:v>5.618789611186217E+19</c:v>
                </c:pt>
                <c:pt idx="30">
                  <c:v>6.6794596544948003E+19</c:v>
                </c:pt>
                <c:pt idx="31">
                  <c:v>7.4485753155463102E+19</c:v>
                </c:pt>
                <c:pt idx="32">
                  <c:v>8.8302863911895843E+19</c:v>
                </c:pt>
                <c:pt idx="33">
                  <c:v>9.492684656988237E+19</c:v>
                </c:pt>
                <c:pt idx="34">
                  <c:v>9.1538089027284009E+19</c:v>
                </c:pt>
                <c:pt idx="35">
                  <c:v>9.5372615249174757E+19</c:v>
                </c:pt>
                <c:pt idx="36">
                  <c:v>1.0925951018496524E+20</c:v>
                </c:pt>
                <c:pt idx="37">
                  <c:v>1.1043095971969986E+20</c:v>
                </c:pt>
                <c:pt idx="38">
                  <c:v>1.0691624063782561E+20</c:v>
                </c:pt>
                <c:pt idx="39">
                  <c:v>1.1153711128958553E+20</c:v>
                </c:pt>
                <c:pt idx="40">
                  <c:v>1.0572211825518505E+20</c:v>
                </c:pt>
                <c:pt idx="41">
                  <c:v>1.1128964604487333E+20</c:v>
                </c:pt>
                <c:pt idx="42">
                  <c:v>1.2240145741065434E+20</c:v>
                </c:pt>
                <c:pt idx="43">
                  <c:v>1.2374156107889346E+20</c:v>
                </c:pt>
                <c:pt idx="44">
                  <c:v>1.3572503033083956E+20</c:v>
                </c:pt>
                <c:pt idx="45">
                  <c:v>1.3191614162698578E+20</c:v>
                </c:pt>
                <c:pt idx="46">
                  <c:v>1.2855454992181223E+20</c:v>
                </c:pt>
                <c:pt idx="47">
                  <c:v>1.365166710738934E+20</c:v>
                </c:pt>
                <c:pt idx="48">
                  <c:v>1.4904816214895359E+20</c:v>
                </c:pt>
                <c:pt idx="49">
                  <c:v>1.5510855676537923E+20</c:v>
                </c:pt>
                <c:pt idx="50">
                  <c:v>1.5957736532450129E+20</c:v>
                </c:pt>
                <c:pt idx="51">
                  <c:v>1.5722860464507568E+20</c:v>
                </c:pt>
                <c:pt idx="52">
                  <c:v>1.6180503099650585E+20</c:v>
                </c:pt>
                <c:pt idx="53">
                  <c:v>1.2011117657225549E+20</c:v>
                </c:pt>
                <c:pt idx="54">
                  <c:v>1.0017658074228842E+20</c:v>
                </c:pt>
                <c:pt idx="55">
                  <c:v>1.2053756931113733E+20</c:v>
                </c:pt>
                <c:pt idx="56">
                  <c:v>1.3656526763269608E+20</c:v>
                </c:pt>
                <c:pt idx="57">
                  <c:v>1.4905579808673415E+20</c:v>
                </c:pt>
                <c:pt idx="58">
                  <c:v>1.6091861497014813E+20</c:v>
                </c:pt>
                <c:pt idx="59">
                  <c:v>1.7337486984025345E+20</c:v>
                </c:pt>
                <c:pt idx="60">
                  <c:v>1.8760988543868374E+20</c:v>
                </c:pt>
                <c:pt idx="61">
                  <c:v>1.979304747434949E+20</c:v>
                </c:pt>
                <c:pt idx="62">
                  <c:v>2.008835111000797E+20</c:v>
                </c:pt>
                <c:pt idx="63">
                  <c:v>2.0887045808708639E+20</c:v>
                </c:pt>
                <c:pt idx="64">
                  <c:v>2.187845446212395E+20</c:v>
                </c:pt>
                <c:pt idx="65">
                  <c:v>2.1364499114732749E+20</c:v>
                </c:pt>
                <c:pt idx="66">
                  <c:v>2.0001846600088456E+20</c:v>
                </c:pt>
                <c:pt idx="67">
                  <c:v>2.1084785750324255E+20</c:v>
                </c:pt>
                <c:pt idx="68">
                  <c:v>2.2826847342134221E+20</c:v>
                </c:pt>
                <c:pt idx="69">
                  <c:v>2.6294295259945707E+20</c:v>
                </c:pt>
                <c:pt idx="70">
                  <c:v>2.5525681330413447E+20</c:v>
                </c:pt>
                <c:pt idx="71">
                  <c:v>2.4830315068205367E+20</c:v>
                </c:pt>
                <c:pt idx="72">
                  <c:v>2.7342222712780338E+20</c:v>
                </c:pt>
                <c:pt idx="73">
                  <c:v>2.9696490827382594E+20</c:v>
                </c:pt>
                <c:pt idx="74">
                  <c:v>3.3143909326012298E+20</c:v>
                </c:pt>
                <c:pt idx="75">
                  <c:v>3.4248990972345896E+20</c:v>
                </c:pt>
                <c:pt idx="76">
                  <c:v>3.6085328776201326E+20</c:v>
                </c:pt>
                <c:pt idx="77">
                  <c:v>3.6968183885181393E+20</c:v>
                </c:pt>
                <c:pt idx="78">
                  <c:v>3.7844724781727292E+20</c:v>
                </c:pt>
                <c:pt idx="79">
                  <c:v>3.8599662591867978E+20</c:v>
                </c:pt>
                <c:pt idx="80">
                  <c:v>4.0740102607233601E+20</c:v>
                </c:pt>
                <c:pt idx="81">
                  <c:v>4.440293849812315E+20</c:v>
                </c:pt>
                <c:pt idx="82">
                  <c:v>4.7284018654512277E+20</c:v>
                </c:pt>
                <c:pt idx="83">
                  <c:v>5.0760178216518366E+20</c:v>
                </c:pt>
                <c:pt idx="84">
                  <c:v>5.2156425872945735E+20</c:v>
                </c:pt>
                <c:pt idx="85">
                  <c:v>5.7374877217267725E+20</c:v>
                </c:pt>
                <c:pt idx="86">
                  <c:v>5.9872404543679431E+20</c:v>
                </c:pt>
                <c:pt idx="87">
                  <c:v>6.2506191939859291E+20</c:v>
                </c:pt>
                <c:pt idx="88">
                  <c:v>5.9901312977338184E+20</c:v>
                </c:pt>
                <c:pt idx="89">
                  <c:v>5.8037204527182257E+20</c:v>
                </c:pt>
                <c:pt idx="90">
                  <c:v>6.1490295318635715E+20</c:v>
                </c:pt>
                <c:pt idx="91">
                  <c:v>6.3060223233671443E+20</c:v>
                </c:pt>
                <c:pt idx="92">
                  <c:v>6.4171326447355678E+20</c:v>
                </c:pt>
                <c:pt idx="93">
                  <c:v>7.0355935641209943E+20</c:v>
                </c:pt>
                <c:pt idx="94">
                  <c:v>7.310093065182114E+20</c:v>
                </c:pt>
                <c:pt idx="95">
                  <c:v>7.7837352596667485E+20</c:v>
                </c:pt>
                <c:pt idx="96">
                  <c:v>7.8070936175979935E+20</c:v>
                </c:pt>
                <c:pt idx="97">
                  <c:v>8.1090087682113313E+20</c:v>
                </c:pt>
                <c:pt idx="98">
                  <c:v>8.1678137351339953E+20</c:v>
                </c:pt>
                <c:pt idx="99">
                  <c:v>8.6896699307864818E+20</c:v>
                </c:pt>
                <c:pt idx="100">
                  <c:v>8.970545913366083E+20</c:v>
                </c:pt>
                <c:pt idx="101">
                  <c:v>8.6777993269080215E+20</c:v>
                </c:pt>
                <c:pt idx="102">
                  <c:v>9.0270302729731703E+20</c:v>
                </c:pt>
                <c:pt idx="103">
                  <c:v>9.4935211829555429E+20</c:v>
                </c:pt>
                <c:pt idx="104">
                  <c:v>1.0343350237736065E+21</c:v>
                </c:pt>
                <c:pt idx="105">
                  <c:v>1.0848499997466425E+21</c:v>
                </c:pt>
                <c:pt idx="106">
                  <c:v>1.0814777336085162E+21</c:v>
                </c:pt>
                <c:pt idx="107">
                  <c:v>1.0484315208577072E+21</c:v>
                </c:pt>
                <c:pt idx="108">
                  <c:v>9.8112705490176875E+20</c:v>
                </c:pt>
                <c:pt idx="109">
                  <c:v>1.0170586767384931E+21</c:v>
                </c:pt>
                <c:pt idx="110">
                  <c:v>9.8109383021397318E+20</c:v>
                </c:pt>
                <c:pt idx="111">
                  <c:v>9.5876128740364963E+20</c:v>
                </c:pt>
                <c:pt idx="112">
                  <c:v>9.8708304032618866E+20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B-44E3-8F5D-38BF61520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56975"/>
        <c:axId val="143135375"/>
      </c:barChart>
      <c:catAx>
        <c:axId val="143156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Date</a:t>
                </a:r>
              </a:p>
            </c:rich>
          </c:tx>
          <c:layout>
            <c:manualLayout>
              <c:xMode val="edge"/>
              <c:yMode val="edge"/>
              <c:x val="0.44719946004896571"/>
              <c:y val="0.87093357662785842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35375"/>
        <c:crosses val="autoZero"/>
        <c:auto val="1"/>
        <c:lblAlgn val="ctr"/>
        <c:lblOffset val="100"/>
        <c:noMultiLvlLbl val="0"/>
      </c:catAx>
      <c:valAx>
        <c:axId val="143135375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2"/>
                    </a:solidFill>
                  </a:rPr>
                  <a:t>Hash rate (H/s)</a:t>
                </a:r>
              </a:p>
            </c:rich>
          </c:tx>
          <c:layout>
            <c:manualLayout>
              <c:xMode val="edge"/>
              <c:yMode val="edge"/>
              <c:x val="2.224835402233552E-2"/>
              <c:y val="0.352293588133135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43156975"/>
        <c:crosses val="autoZero"/>
        <c:crossBetween val="between"/>
      </c:valAx>
      <c:spPr>
        <a:solidFill>
          <a:schemeClr val="lt1"/>
        </a:solidFill>
        <a:ln w="25400" cap="flat" cmpd="sng" algn="ctr">
          <a:solidFill>
            <a:schemeClr val="accent1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440984159785896"/>
          <c:y val="4.9117991233463547E-2"/>
          <c:w val="0.13704879755354232"/>
          <c:h val="0.115433678846024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25400" cap="flat" cmpd="sng" algn="ctr">
      <a:solidFill>
        <a:schemeClr val="accent3"/>
      </a:solidFill>
      <a:prstDash val="solid"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[ارزيابي اقتصادي پرسياه- نسخه نهايي- سل سام- 14050305.xlsx]پیش بینی قیمت!PivotTable15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a-I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'پیش بینی قیمت'!$F$2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intercept val="0"/>
            <c:dispRSqr val="1"/>
            <c:dispEq val="0"/>
            <c:trendlineLbl>
              <c:layout>
                <c:manualLayout>
                  <c:x val="-0.45702479068139845"/>
                  <c:y val="-0.186755647664823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a-IR"/>
                </a:p>
              </c:txPr>
            </c:trendlineLbl>
          </c:trendline>
          <c:cat>
            <c:multiLvlStrRef>
              <c:f>'پیش بینی قیمت'!$E$3:$E$126</c:f>
              <c:multiLvlStrCache>
                <c:ptCount val="1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  <c:pt idx="48">
                    <c:v>Jan</c:v>
                  </c:pt>
                  <c:pt idx="49">
                    <c:v>Feb</c:v>
                  </c:pt>
                  <c:pt idx="50">
                    <c:v>Mar</c:v>
                  </c:pt>
                  <c:pt idx="51">
                    <c:v>Apr</c:v>
                  </c:pt>
                  <c:pt idx="52">
                    <c:v>May</c:v>
                  </c:pt>
                  <c:pt idx="53">
                    <c:v>Jun</c:v>
                  </c:pt>
                  <c:pt idx="54">
                    <c:v>Jul</c:v>
                  </c:pt>
                  <c:pt idx="55">
                    <c:v>Aug</c:v>
                  </c:pt>
                  <c:pt idx="56">
                    <c:v>Sep</c:v>
                  </c:pt>
                  <c:pt idx="57">
                    <c:v>Oct</c:v>
                  </c:pt>
                  <c:pt idx="58">
                    <c:v>Nov</c:v>
                  </c:pt>
                  <c:pt idx="59">
                    <c:v>Dec</c:v>
                  </c:pt>
                  <c:pt idx="60">
                    <c:v>Jan</c:v>
                  </c:pt>
                  <c:pt idx="61">
                    <c:v>Feb</c:v>
                  </c:pt>
                  <c:pt idx="62">
                    <c:v>Mar</c:v>
                  </c:pt>
                  <c:pt idx="63">
                    <c:v>Apr</c:v>
                  </c:pt>
                  <c:pt idx="64">
                    <c:v>May</c:v>
                  </c:pt>
                  <c:pt idx="65">
                    <c:v>Jun</c:v>
                  </c:pt>
                  <c:pt idx="66">
                    <c:v>Jul</c:v>
                  </c:pt>
                  <c:pt idx="67">
                    <c:v>Aug</c:v>
                  </c:pt>
                  <c:pt idx="68">
                    <c:v>Sep</c:v>
                  </c:pt>
                  <c:pt idx="69">
                    <c:v>Oct</c:v>
                  </c:pt>
                  <c:pt idx="70">
                    <c:v>Nov</c:v>
                  </c:pt>
                  <c:pt idx="71">
                    <c:v>Dec</c:v>
                  </c:pt>
                  <c:pt idx="72">
                    <c:v>Jan</c:v>
                  </c:pt>
                  <c:pt idx="73">
                    <c:v>Feb</c:v>
                  </c:pt>
                  <c:pt idx="74">
                    <c:v>Mar</c:v>
                  </c:pt>
                  <c:pt idx="75">
                    <c:v>Apr</c:v>
                  </c:pt>
                  <c:pt idx="76">
                    <c:v>May</c:v>
                  </c:pt>
                  <c:pt idx="77">
                    <c:v>Jun</c:v>
                  </c:pt>
                  <c:pt idx="78">
                    <c:v>Jul</c:v>
                  </c:pt>
                  <c:pt idx="79">
                    <c:v>Aug</c:v>
                  </c:pt>
                  <c:pt idx="80">
                    <c:v>Sep</c:v>
                  </c:pt>
                  <c:pt idx="81">
                    <c:v>Oct</c:v>
                  </c:pt>
                  <c:pt idx="82">
                    <c:v>Nov</c:v>
                  </c:pt>
                  <c:pt idx="83">
                    <c:v>Dec</c:v>
                  </c:pt>
                  <c:pt idx="84">
                    <c:v>Jan</c:v>
                  </c:pt>
                  <c:pt idx="85">
                    <c:v>Feb</c:v>
                  </c:pt>
                  <c:pt idx="86">
                    <c:v>Mar</c:v>
                  </c:pt>
                  <c:pt idx="87">
                    <c:v>Apr</c:v>
                  </c:pt>
                  <c:pt idx="88">
                    <c:v>May</c:v>
                  </c:pt>
                  <c:pt idx="89">
                    <c:v>Jun</c:v>
                  </c:pt>
                  <c:pt idx="90">
                    <c:v>Jul</c:v>
                  </c:pt>
                  <c:pt idx="91">
                    <c:v>Aug</c:v>
                  </c:pt>
                  <c:pt idx="92">
                    <c:v>Sep</c:v>
                  </c:pt>
                  <c:pt idx="93">
                    <c:v>Oct</c:v>
                  </c:pt>
                  <c:pt idx="94">
                    <c:v>Nov</c:v>
                  </c:pt>
                  <c:pt idx="95">
                    <c:v>Dec</c:v>
                  </c:pt>
                  <c:pt idx="96">
                    <c:v>Jan</c:v>
                  </c:pt>
                  <c:pt idx="97">
                    <c:v>Feb</c:v>
                  </c:pt>
                  <c:pt idx="98">
                    <c:v>Mar</c:v>
                  </c:pt>
                  <c:pt idx="99">
                    <c:v>Apr</c:v>
                  </c:pt>
                  <c:pt idx="100">
                    <c:v>May</c:v>
                  </c:pt>
                  <c:pt idx="101">
                    <c:v>Jun</c:v>
                  </c:pt>
                  <c:pt idx="102">
                    <c:v>Jul</c:v>
                  </c:pt>
                  <c:pt idx="103">
                    <c:v>Aug</c:v>
                  </c:pt>
                  <c:pt idx="104">
                    <c:v>Sep</c:v>
                  </c:pt>
                  <c:pt idx="105">
                    <c:v>Oct</c:v>
                  </c:pt>
                  <c:pt idx="106">
                    <c:v>Nov</c:v>
                  </c:pt>
                  <c:pt idx="107">
                    <c:v>Dec</c:v>
                  </c:pt>
                  <c:pt idx="108">
                    <c:v>Jan</c:v>
                  </c:pt>
                  <c:pt idx="109">
                    <c:v>Feb</c:v>
                  </c:pt>
                  <c:pt idx="110">
                    <c:v>Mar</c:v>
                  </c:pt>
                  <c:pt idx="111">
                    <c:v>Apr</c:v>
                  </c:pt>
                  <c:pt idx="112">
                    <c:v>May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'پیش بینی قیمت'!$F$3:$F$126</c:f>
              <c:numCache>
                <c:formatCode>General</c:formatCode>
                <c:ptCount val="113"/>
                <c:pt idx="0">
                  <c:v>914.75580645161278</c:v>
                </c:pt>
                <c:pt idx="1">
                  <c:v>1058.2971428571429</c:v>
                </c:pt>
                <c:pt idx="2">
                  <c:v>1130.1393548387098</c:v>
                </c:pt>
                <c:pt idx="3">
                  <c:v>1212.6120000000001</c:v>
                </c:pt>
                <c:pt idx="4">
                  <c:v>1885.8258064516131</c:v>
                </c:pt>
                <c:pt idx="5">
                  <c:v>2618.2690000000002</c:v>
                </c:pt>
                <c:pt idx="6">
                  <c:v>2497.912903225807</c:v>
                </c:pt>
                <c:pt idx="7">
                  <c:v>3842.6006451612907</c:v>
                </c:pt>
                <c:pt idx="8">
                  <c:v>4107.3840000000009</c:v>
                </c:pt>
                <c:pt idx="9">
                  <c:v>5290.8490322580647</c:v>
                </c:pt>
                <c:pt idx="10">
                  <c:v>7777.3123333333333</c:v>
                </c:pt>
                <c:pt idx="11">
                  <c:v>14916.740645161291</c:v>
                </c:pt>
                <c:pt idx="12">
                  <c:v>12932.994193548384</c:v>
                </c:pt>
                <c:pt idx="13">
                  <c:v>9455.8653571428586</c:v>
                </c:pt>
                <c:pt idx="14">
                  <c:v>9072.9616129032238</c:v>
                </c:pt>
                <c:pt idx="15">
                  <c:v>7999.9553333333342</c:v>
                </c:pt>
                <c:pt idx="16">
                  <c:v>8465.3522580645149</c:v>
                </c:pt>
                <c:pt idx="17">
                  <c:v>6804.2123333333338</c:v>
                </c:pt>
                <c:pt idx="18">
                  <c:v>7110.3577419354851</c:v>
                </c:pt>
                <c:pt idx="19">
                  <c:v>6719.9070967741945</c:v>
                </c:pt>
                <c:pt idx="20">
                  <c:v>6613.4976666666671</c:v>
                </c:pt>
                <c:pt idx="21">
                  <c:v>6491.1929032258058</c:v>
                </c:pt>
                <c:pt idx="22">
                  <c:v>5447.0209999999997</c:v>
                </c:pt>
                <c:pt idx="23">
                  <c:v>3731.936774193548</c:v>
                </c:pt>
                <c:pt idx="24">
                  <c:v>3698.5267741935481</c:v>
                </c:pt>
                <c:pt idx="25">
                  <c:v>3699.9560714285712</c:v>
                </c:pt>
                <c:pt idx="26">
                  <c:v>3973.1983870967751</c:v>
                </c:pt>
                <c:pt idx="27">
                  <c:v>5169.7229999999981</c:v>
                </c:pt>
                <c:pt idx="28">
                  <c:v>7246.4819354838701</c:v>
                </c:pt>
                <c:pt idx="29">
                  <c:v>9388.3090000000011</c:v>
                </c:pt>
                <c:pt idx="30">
                  <c:v>10686.909354838712</c:v>
                </c:pt>
                <c:pt idx="31">
                  <c:v>10635.406451612902</c:v>
                </c:pt>
                <c:pt idx="32">
                  <c:v>9823.4096666666665</c:v>
                </c:pt>
                <c:pt idx="33">
                  <c:v>8378.7854838709682</c:v>
                </c:pt>
                <c:pt idx="34">
                  <c:v>8388.48</c:v>
                </c:pt>
                <c:pt idx="35">
                  <c:v>7281.1854838709678</c:v>
                </c:pt>
                <c:pt idx="36">
                  <c:v>8340.0945161290365</c:v>
                </c:pt>
                <c:pt idx="37">
                  <c:v>9644.7544827586225</c:v>
                </c:pt>
                <c:pt idx="38">
                  <c:v>6923.7009677419364</c:v>
                </c:pt>
                <c:pt idx="39">
                  <c:v>7175.7306666666691</c:v>
                </c:pt>
                <c:pt idx="40">
                  <c:v>9242.4216129032266</c:v>
                </c:pt>
                <c:pt idx="41">
                  <c:v>9485.2073333333319</c:v>
                </c:pt>
                <c:pt idx="42">
                  <c:v>9535.4822580645159</c:v>
                </c:pt>
                <c:pt idx="43">
                  <c:v>11645.210645161289</c:v>
                </c:pt>
                <c:pt idx="44">
                  <c:v>10695.041000000001</c:v>
                </c:pt>
                <c:pt idx="45">
                  <c:v>11823.271612903227</c:v>
                </c:pt>
                <c:pt idx="46">
                  <c:v>16492.302333333333</c:v>
                </c:pt>
                <c:pt idx="47">
                  <c:v>21785.674516129035</c:v>
                </c:pt>
                <c:pt idx="48">
                  <c:v>34523.102258064515</c:v>
                </c:pt>
                <c:pt idx="49">
                  <c:v>46012.173928571436</c:v>
                </c:pt>
                <c:pt idx="50">
                  <c:v>54794.732258064512</c:v>
                </c:pt>
                <c:pt idx="51">
                  <c:v>57270.12000000001</c:v>
                </c:pt>
                <c:pt idx="52">
                  <c:v>47106.355483870975</c:v>
                </c:pt>
                <c:pt idx="53">
                  <c:v>35801.68233333333</c:v>
                </c:pt>
                <c:pt idx="54">
                  <c:v>34246.52774193549</c:v>
                </c:pt>
                <c:pt idx="55">
                  <c:v>45526.53645161289</c:v>
                </c:pt>
                <c:pt idx="56">
                  <c:v>46103.640666666673</c:v>
                </c:pt>
                <c:pt idx="57">
                  <c:v>57514.844666666671</c:v>
                </c:pt>
                <c:pt idx="58">
                  <c:v>60680.595333333324</c:v>
                </c:pt>
                <c:pt idx="59">
                  <c:v>49503.605806451618</c:v>
                </c:pt>
                <c:pt idx="60">
                  <c:v>41184.947419354845</c:v>
                </c:pt>
                <c:pt idx="61">
                  <c:v>40560.324642857144</c:v>
                </c:pt>
                <c:pt idx="62">
                  <c:v>41944.902580645161</c:v>
                </c:pt>
                <c:pt idx="63">
                  <c:v>41685.87433333334</c:v>
                </c:pt>
                <c:pt idx="64">
                  <c:v>31955.399032258065</c:v>
                </c:pt>
                <c:pt idx="65">
                  <c:v>24444.688666666661</c:v>
                </c:pt>
                <c:pt idx="66">
                  <c:v>21422.118709677416</c:v>
                </c:pt>
                <c:pt idx="67">
                  <c:v>22475.866129032263</c:v>
                </c:pt>
                <c:pt idx="68">
                  <c:v>19878.557666666668</c:v>
                </c:pt>
                <c:pt idx="69">
                  <c:v>19627.219032258061</c:v>
                </c:pt>
                <c:pt idx="70">
                  <c:v>17693.141666666666</c:v>
                </c:pt>
                <c:pt idx="71">
                  <c:v>16959.282903225809</c:v>
                </c:pt>
                <c:pt idx="72">
                  <c:v>20108.058387096775</c:v>
                </c:pt>
                <c:pt idx="73">
                  <c:v>23312.971428571425</c:v>
                </c:pt>
                <c:pt idx="74">
                  <c:v>25053.669354838712</c:v>
                </c:pt>
                <c:pt idx="75">
                  <c:v>28824.595333333324</c:v>
                </c:pt>
                <c:pt idx="76">
                  <c:v>27490.199354838711</c:v>
                </c:pt>
                <c:pt idx="77">
                  <c:v>27650.892333333333</c:v>
                </c:pt>
                <c:pt idx="78">
                  <c:v>30079.74</c:v>
                </c:pt>
                <c:pt idx="79">
                  <c:v>27895.567741935483</c:v>
                </c:pt>
                <c:pt idx="80">
                  <c:v>26294.335999999996</c:v>
                </c:pt>
                <c:pt idx="81">
                  <c:v>29621.701935483874</c:v>
                </c:pt>
                <c:pt idx="82">
                  <c:v>36496.44233333334</c:v>
                </c:pt>
                <c:pt idx="83">
                  <c:v>42410.563870967744</c:v>
                </c:pt>
                <c:pt idx="84">
                  <c:v>42942.107741935477</c:v>
                </c:pt>
                <c:pt idx="85">
                  <c:v>49488.086896551729</c:v>
                </c:pt>
                <c:pt idx="86">
                  <c:v>67584.001290322587</c:v>
                </c:pt>
                <c:pt idx="87">
                  <c:v>66063.855333333326</c:v>
                </c:pt>
                <c:pt idx="88">
                  <c:v>65080.586129032279</c:v>
                </c:pt>
                <c:pt idx="89">
                  <c:v>66022.410000000018</c:v>
                </c:pt>
                <c:pt idx="90">
                  <c:v>62733.119677419367</c:v>
                </c:pt>
                <c:pt idx="91">
                  <c:v>59720.333750000005</c:v>
                </c:pt>
                <c:pt idx="92">
                  <c:v>60162.396000000015</c:v>
                </c:pt>
                <c:pt idx="93">
                  <c:v>65578.836129032235</c:v>
                </c:pt>
                <c:pt idx="94">
                  <c:v>86284.619666666636</c:v>
                </c:pt>
                <c:pt idx="95">
                  <c:v>98313.482258064527</c:v>
                </c:pt>
                <c:pt idx="96">
                  <c:v>99963.702903225814</c:v>
                </c:pt>
                <c:pt idx="97">
                  <c:v>95582.770714285711</c:v>
                </c:pt>
                <c:pt idx="98">
                  <c:v>85047.335806451592</c:v>
                </c:pt>
                <c:pt idx="99">
                  <c:v>86351.600333333336</c:v>
                </c:pt>
                <c:pt idx="100">
                  <c:v>103401.38290322582</c:v>
                </c:pt>
                <c:pt idx="101">
                  <c:v>105789.25033333333</c:v>
                </c:pt>
                <c:pt idx="102">
                  <c:v>115166.93451612904</c:v>
                </c:pt>
                <c:pt idx="103">
                  <c:v>114952.16935483874</c:v>
                </c:pt>
                <c:pt idx="104">
                  <c:v>113001.41533333334</c:v>
                </c:pt>
                <c:pt idx="105">
                  <c:v>114389.18870967739</c:v>
                </c:pt>
                <c:pt idx="106">
                  <c:v>96660.962333333315</c:v>
                </c:pt>
                <c:pt idx="107">
                  <c:v>89030.470322580644</c:v>
                </c:pt>
                <c:pt idx="108">
                  <c:v>90640.099677419348</c:v>
                </c:pt>
                <c:pt idx="109">
                  <c:v>69125.13</c:v>
                </c:pt>
                <c:pt idx="110">
                  <c:v>69666.609999999986</c:v>
                </c:pt>
                <c:pt idx="111">
                  <c:v>73458.068666666688</c:v>
                </c:pt>
                <c:pt idx="112">
                  <c:v>80125.113846153821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3-4065-917A-954EB07D7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587984"/>
        <c:axId val="1681588464"/>
      </c:barChart>
      <c:catAx>
        <c:axId val="168158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8464"/>
        <c:crosses val="autoZero"/>
        <c:auto val="1"/>
        <c:lblAlgn val="ctr"/>
        <c:lblOffset val="100"/>
        <c:noMultiLvlLbl val="0"/>
      </c:catAx>
      <c:valAx>
        <c:axId val="168158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a-IR"/>
          </a:p>
        </c:txPr>
        <c:crossAx val="168158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a-I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a-I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4C8CF47-B351-4981-A8D7-E3ACC4D7451D}" type="doc">
      <dgm:prSet loTypeId="urn:microsoft.com/office/officeart/2005/8/layout/process1" loCatId="process" qsTypeId="urn:microsoft.com/office/officeart/2005/8/quickstyle/simple1" qsCatId="simple" csTypeId="urn:microsoft.com/office/officeart/2005/8/colors/accent1_2" csCatId="accent1" phldr="1"/>
      <dgm:spPr/>
    </dgm:pt>
    <dgm:pt modelId="{6FD83BCF-FE2E-4348-819C-ECB609582E92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gm:t>
    </dgm:pt>
    <dgm:pt modelId="{EC36A988-1E19-4F2C-9D11-91F79BA170F2}" type="parTrans" cxnId="{DFDF269D-5748-439A-9A4E-ED02ABC133DF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AAF3DD94-2327-4EA5-99C3-CE3B2BC012B9}" type="sibTrans" cxnId="{DFDF269D-5748-439A-9A4E-ED02ABC133DF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A4EB22A4-9015-4ECA-81A0-C591BD066FCB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gm:t>
    </dgm:pt>
    <dgm:pt modelId="{148A38EB-7318-4044-ADD5-09F23F517E9D}" type="parTrans" cxnId="{1FAA1AE4-3B44-471D-84E3-DADC41A51826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07420A67-059F-445A-8CE6-90C43EB4EA5F}" type="sibTrans" cxnId="{1FAA1AE4-3B44-471D-84E3-DADC41A51826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827AA6E2-E38D-4B56-811B-38E0965C904E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gm:t>
    </dgm:pt>
    <dgm:pt modelId="{A69D62C7-14C3-4A5F-B4E8-D571C765146F}" type="parTrans" cxnId="{61ADC1B4-2F03-4975-A7CD-CBFA4A7DB3A4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24EF2419-12AC-4C41-8689-770C162FFF82}" type="sibTrans" cxnId="{61ADC1B4-2F03-4975-A7CD-CBFA4A7DB3A4}">
      <dgm:prSet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endParaRPr lang="fa-IR" b="1">
            <a:solidFill>
              <a:srgbClr val="C00000"/>
            </a:solidFill>
            <a:cs typeface="B Nazanin" panose="00000400000000000000" pitchFamily="2" charset="-78"/>
          </a:endParaRPr>
        </a:p>
      </dgm:t>
    </dgm:pt>
    <dgm:pt modelId="{99E674FC-E80F-4031-AF30-BDB43BE51E68}">
      <dgm:prSet phldrT="[Text]">
        <dgm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dgm:style>
      </dgm:prSet>
      <dgm:spPr/>
      <dgm:t>
        <a:bodyPr/>
        <a:lstStyle/>
        <a:p>
          <a:pPr rtl="1"/>
          <a:r>
            <a:rPr lang="fa-IR" b="1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gm:t>
    </dgm:pt>
    <dgm:pt modelId="{5AA857A9-700F-46E8-8EC4-5EE3CB872934}" type="par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F20332D4-1406-4361-AF5C-EF4CD184F299}" type="sibTrans" cxnId="{4BC232C3-A71E-4761-AE60-201B451348F2}">
      <dgm:prSet/>
      <dgm:spPr/>
      <dgm:t>
        <a:bodyPr/>
        <a:lstStyle/>
        <a:p>
          <a:pPr rtl="1"/>
          <a:endParaRPr lang="fa-IR">
            <a:cs typeface="B Nazanin" panose="00000400000000000000" pitchFamily="2" charset="-78"/>
          </a:endParaRPr>
        </a:p>
      </dgm:t>
    </dgm:pt>
    <dgm:pt modelId="{39F1B1FC-42B1-476F-8183-D2FEF59298BA}" type="pres">
      <dgm:prSet presAssocID="{74C8CF47-B351-4981-A8D7-E3ACC4D7451D}" presName="Name0" presStyleCnt="0">
        <dgm:presLayoutVars>
          <dgm:dir/>
          <dgm:resizeHandles val="exact"/>
        </dgm:presLayoutVars>
      </dgm:prSet>
      <dgm:spPr/>
    </dgm:pt>
    <dgm:pt modelId="{D866D3ED-E83E-42E3-A575-BC489F2D5423}" type="pres">
      <dgm:prSet presAssocID="{6FD83BCF-FE2E-4348-819C-ECB609582E92}" presName="node" presStyleLbl="node1" presStyleIdx="0" presStyleCnt="4">
        <dgm:presLayoutVars>
          <dgm:bulletEnabled val="1"/>
        </dgm:presLayoutVars>
      </dgm:prSet>
      <dgm:spPr/>
    </dgm:pt>
    <dgm:pt modelId="{88475616-C0ED-4F22-A3D3-BA4965987573}" type="pres">
      <dgm:prSet presAssocID="{AAF3DD94-2327-4EA5-99C3-CE3B2BC012B9}" presName="sibTrans" presStyleLbl="sibTrans2D1" presStyleIdx="0" presStyleCnt="3"/>
      <dgm:spPr/>
    </dgm:pt>
    <dgm:pt modelId="{AA3B32D4-C38C-4D99-8D1A-F917D06E44C0}" type="pres">
      <dgm:prSet presAssocID="{AAF3DD94-2327-4EA5-99C3-CE3B2BC012B9}" presName="connectorText" presStyleLbl="sibTrans2D1" presStyleIdx="0" presStyleCnt="3"/>
      <dgm:spPr/>
    </dgm:pt>
    <dgm:pt modelId="{DB8ECC8D-25F3-4EF7-BF04-D9BA4E1A86C4}" type="pres">
      <dgm:prSet presAssocID="{A4EB22A4-9015-4ECA-81A0-C591BD066FCB}" presName="node" presStyleLbl="node1" presStyleIdx="1" presStyleCnt="4">
        <dgm:presLayoutVars>
          <dgm:bulletEnabled val="1"/>
        </dgm:presLayoutVars>
      </dgm:prSet>
      <dgm:spPr/>
    </dgm:pt>
    <dgm:pt modelId="{D91B0E1A-8017-4F3D-AD27-95C00ABA4096}" type="pres">
      <dgm:prSet presAssocID="{07420A67-059F-445A-8CE6-90C43EB4EA5F}" presName="sibTrans" presStyleLbl="sibTrans2D1" presStyleIdx="1" presStyleCnt="3"/>
      <dgm:spPr/>
    </dgm:pt>
    <dgm:pt modelId="{36E3316D-68FC-4FED-A2ED-CCD21E580454}" type="pres">
      <dgm:prSet presAssocID="{07420A67-059F-445A-8CE6-90C43EB4EA5F}" presName="connectorText" presStyleLbl="sibTrans2D1" presStyleIdx="1" presStyleCnt="3"/>
      <dgm:spPr/>
    </dgm:pt>
    <dgm:pt modelId="{B5C22872-3137-4B77-831D-59403E6B4AA5}" type="pres">
      <dgm:prSet presAssocID="{827AA6E2-E38D-4B56-811B-38E0965C904E}" presName="node" presStyleLbl="node1" presStyleIdx="2" presStyleCnt="4">
        <dgm:presLayoutVars>
          <dgm:bulletEnabled val="1"/>
        </dgm:presLayoutVars>
      </dgm:prSet>
      <dgm:spPr/>
    </dgm:pt>
    <dgm:pt modelId="{3DDA72CD-E63B-4996-9198-783226464554}" type="pres">
      <dgm:prSet presAssocID="{24EF2419-12AC-4C41-8689-770C162FFF82}" presName="sibTrans" presStyleLbl="sibTrans2D1" presStyleIdx="2" presStyleCnt="3"/>
      <dgm:spPr/>
    </dgm:pt>
    <dgm:pt modelId="{6B40BBE8-FED4-4F8A-A74D-F84DD8A6748A}" type="pres">
      <dgm:prSet presAssocID="{24EF2419-12AC-4C41-8689-770C162FFF82}" presName="connectorText" presStyleLbl="sibTrans2D1" presStyleIdx="2" presStyleCnt="3"/>
      <dgm:spPr/>
    </dgm:pt>
    <dgm:pt modelId="{595231F1-C516-4F01-8738-B19B55106AB5}" type="pres">
      <dgm:prSet presAssocID="{99E674FC-E80F-4031-AF30-BDB43BE51E68}" presName="node" presStyleLbl="node1" presStyleIdx="3" presStyleCnt="4">
        <dgm:presLayoutVars>
          <dgm:bulletEnabled val="1"/>
        </dgm:presLayoutVars>
      </dgm:prSet>
      <dgm:spPr/>
    </dgm:pt>
  </dgm:ptLst>
  <dgm:cxnLst>
    <dgm:cxn modelId="{69381607-5A48-4D23-AC1D-1B88EC46EE4A}" type="presOf" srcId="{07420A67-059F-445A-8CE6-90C43EB4EA5F}" destId="{36E3316D-68FC-4FED-A2ED-CCD21E580454}" srcOrd="1" destOrd="0" presId="urn:microsoft.com/office/officeart/2005/8/layout/process1"/>
    <dgm:cxn modelId="{E44DD31C-09FE-4308-B252-1047E5E50050}" type="presOf" srcId="{827AA6E2-E38D-4B56-811B-38E0965C904E}" destId="{B5C22872-3137-4B77-831D-59403E6B4AA5}" srcOrd="0" destOrd="0" presId="urn:microsoft.com/office/officeart/2005/8/layout/process1"/>
    <dgm:cxn modelId="{E36AE249-FB5B-4FE7-B0D2-83ABDB143DDE}" type="presOf" srcId="{99E674FC-E80F-4031-AF30-BDB43BE51E68}" destId="{595231F1-C516-4F01-8738-B19B55106AB5}" srcOrd="0" destOrd="0" presId="urn:microsoft.com/office/officeart/2005/8/layout/process1"/>
    <dgm:cxn modelId="{EE8C9A4B-6A34-4817-81D4-64235BF82279}" type="presOf" srcId="{AAF3DD94-2327-4EA5-99C3-CE3B2BC012B9}" destId="{AA3B32D4-C38C-4D99-8D1A-F917D06E44C0}" srcOrd="1" destOrd="0" presId="urn:microsoft.com/office/officeart/2005/8/layout/process1"/>
    <dgm:cxn modelId="{B7D2414E-2E71-4540-8216-FCCE3D9F51E0}" type="presOf" srcId="{07420A67-059F-445A-8CE6-90C43EB4EA5F}" destId="{D91B0E1A-8017-4F3D-AD27-95C00ABA4096}" srcOrd="0" destOrd="0" presId="urn:microsoft.com/office/officeart/2005/8/layout/process1"/>
    <dgm:cxn modelId="{6FCFB753-CE30-4D80-9816-C03CDCC35A1D}" type="presOf" srcId="{A4EB22A4-9015-4ECA-81A0-C591BD066FCB}" destId="{DB8ECC8D-25F3-4EF7-BF04-D9BA4E1A86C4}" srcOrd="0" destOrd="0" presId="urn:microsoft.com/office/officeart/2005/8/layout/process1"/>
    <dgm:cxn modelId="{A8990C81-AD52-4ABD-9837-12A429115EC8}" type="presOf" srcId="{AAF3DD94-2327-4EA5-99C3-CE3B2BC012B9}" destId="{88475616-C0ED-4F22-A3D3-BA4965987573}" srcOrd="0" destOrd="0" presId="urn:microsoft.com/office/officeart/2005/8/layout/process1"/>
    <dgm:cxn modelId="{DFDF269D-5748-439A-9A4E-ED02ABC133DF}" srcId="{74C8CF47-B351-4981-A8D7-E3ACC4D7451D}" destId="{6FD83BCF-FE2E-4348-819C-ECB609582E92}" srcOrd="0" destOrd="0" parTransId="{EC36A988-1E19-4F2C-9D11-91F79BA170F2}" sibTransId="{AAF3DD94-2327-4EA5-99C3-CE3B2BC012B9}"/>
    <dgm:cxn modelId="{12E215A7-6641-4FD7-98FB-F778A2BE1326}" type="presOf" srcId="{24EF2419-12AC-4C41-8689-770C162FFF82}" destId="{6B40BBE8-FED4-4F8A-A74D-F84DD8A6748A}" srcOrd="1" destOrd="0" presId="urn:microsoft.com/office/officeart/2005/8/layout/process1"/>
    <dgm:cxn modelId="{230277B1-BFDF-4689-A0E3-7911D89906F3}" type="presOf" srcId="{6FD83BCF-FE2E-4348-819C-ECB609582E92}" destId="{D866D3ED-E83E-42E3-A575-BC489F2D5423}" srcOrd="0" destOrd="0" presId="urn:microsoft.com/office/officeart/2005/8/layout/process1"/>
    <dgm:cxn modelId="{61ADC1B4-2F03-4975-A7CD-CBFA4A7DB3A4}" srcId="{74C8CF47-B351-4981-A8D7-E3ACC4D7451D}" destId="{827AA6E2-E38D-4B56-811B-38E0965C904E}" srcOrd="2" destOrd="0" parTransId="{A69D62C7-14C3-4A5F-B4E8-D571C765146F}" sibTransId="{24EF2419-12AC-4C41-8689-770C162FFF82}"/>
    <dgm:cxn modelId="{6D82CDC1-207A-43F4-BD9E-2E5BE642633D}" type="presOf" srcId="{24EF2419-12AC-4C41-8689-770C162FFF82}" destId="{3DDA72CD-E63B-4996-9198-783226464554}" srcOrd="0" destOrd="0" presId="urn:microsoft.com/office/officeart/2005/8/layout/process1"/>
    <dgm:cxn modelId="{4BC232C3-A71E-4761-AE60-201B451348F2}" srcId="{74C8CF47-B351-4981-A8D7-E3ACC4D7451D}" destId="{99E674FC-E80F-4031-AF30-BDB43BE51E68}" srcOrd="3" destOrd="0" parTransId="{5AA857A9-700F-46E8-8EC4-5EE3CB872934}" sibTransId="{F20332D4-1406-4361-AF5C-EF4CD184F299}"/>
    <dgm:cxn modelId="{A38F89CD-3F04-4BD9-91FD-F4C072783D55}" type="presOf" srcId="{74C8CF47-B351-4981-A8D7-E3ACC4D7451D}" destId="{39F1B1FC-42B1-476F-8183-D2FEF59298BA}" srcOrd="0" destOrd="0" presId="urn:microsoft.com/office/officeart/2005/8/layout/process1"/>
    <dgm:cxn modelId="{1FAA1AE4-3B44-471D-84E3-DADC41A51826}" srcId="{74C8CF47-B351-4981-A8D7-E3ACC4D7451D}" destId="{A4EB22A4-9015-4ECA-81A0-C591BD066FCB}" srcOrd="1" destOrd="0" parTransId="{148A38EB-7318-4044-ADD5-09F23F517E9D}" sibTransId="{07420A67-059F-445A-8CE6-90C43EB4EA5F}"/>
    <dgm:cxn modelId="{C677B6D1-FBB5-48AF-A428-A20ECB7E5B68}" type="presParOf" srcId="{39F1B1FC-42B1-476F-8183-D2FEF59298BA}" destId="{D866D3ED-E83E-42E3-A575-BC489F2D5423}" srcOrd="0" destOrd="0" presId="urn:microsoft.com/office/officeart/2005/8/layout/process1"/>
    <dgm:cxn modelId="{BFEA7849-5179-4C22-BE46-E9FC9CA6C757}" type="presParOf" srcId="{39F1B1FC-42B1-476F-8183-D2FEF59298BA}" destId="{88475616-C0ED-4F22-A3D3-BA4965987573}" srcOrd="1" destOrd="0" presId="urn:microsoft.com/office/officeart/2005/8/layout/process1"/>
    <dgm:cxn modelId="{755577F5-F9DF-4D55-8F30-C34DDFCBC235}" type="presParOf" srcId="{88475616-C0ED-4F22-A3D3-BA4965987573}" destId="{AA3B32D4-C38C-4D99-8D1A-F917D06E44C0}" srcOrd="0" destOrd="0" presId="urn:microsoft.com/office/officeart/2005/8/layout/process1"/>
    <dgm:cxn modelId="{15991EB1-1101-421F-9DF2-CAE40FDA15E1}" type="presParOf" srcId="{39F1B1FC-42B1-476F-8183-D2FEF59298BA}" destId="{DB8ECC8D-25F3-4EF7-BF04-D9BA4E1A86C4}" srcOrd="2" destOrd="0" presId="urn:microsoft.com/office/officeart/2005/8/layout/process1"/>
    <dgm:cxn modelId="{CAEBC995-12E4-4E53-932E-ED6D8309D0A1}" type="presParOf" srcId="{39F1B1FC-42B1-476F-8183-D2FEF59298BA}" destId="{D91B0E1A-8017-4F3D-AD27-95C00ABA4096}" srcOrd="3" destOrd="0" presId="urn:microsoft.com/office/officeart/2005/8/layout/process1"/>
    <dgm:cxn modelId="{3CE5C8CC-1978-4368-AD27-8E38DE0CC9EB}" type="presParOf" srcId="{D91B0E1A-8017-4F3D-AD27-95C00ABA4096}" destId="{36E3316D-68FC-4FED-A2ED-CCD21E580454}" srcOrd="0" destOrd="0" presId="urn:microsoft.com/office/officeart/2005/8/layout/process1"/>
    <dgm:cxn modelId="{E4E43ED8-BC80-4A71-A700-EDC5725873AF}" type="presParOf" srcId="{39F1B1FC-42B1-476F-8183-D2FEF59298BA}" destId="{B5C22872-3137-4B77-831D-59403E6B4AA5}" srcOrd="4" destOrd="0" presId="urn:microsoft.com/office/officeart/2005/8/layout/process1"/>
    <dgm:cxn modelId="{75AB40C1-3E0D-4802-B4DB-FF1B074B9DC7}" type="presParOf" srcId="{39F1B1FC-42B1-476F-8183-D2FEF59298BA}" destId="{3DDA72CD-E63B-4996-9198-783226464554}" srcOrd="5" destOrd="0" presId="urn:microsoft.com/office/officeart/2005/8/layout/process1"/>
    <dgm:cxn modelId="{B875221F-6FA0-4F59-AD89-43E28D60241F}" type="presParOf" srcId="{3DDA72CD-E63B-4996-9198-783226464554}" destId="{6B40BBE8-FED4-4F8A-A74D-F84DD8A6748A}" srcOrd="0" destOrd="0" presId="urn:microsoft.com/office/officeart/2005/8/layout/process1"/>
    <dgm:cxn modelId="{817C4CAA-D0E9-476C-A459-B0AAE3648DE5}" type="presParOf" srcId="{39F1B1FC-42B1-476F-8183-D2FEF59298BA}" destId="{595231F1-C516-4F01-8738-B19B55106AB5}" srcOrd="6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D866D3ED-E83E-42E3-A575-BC489F2D5423}">
      <dsp:nvSpPr>
        <dsp:cNvPr id="0" name=""/>
        <dsp:cNvSpPr/>
      </dsp:nvSpPr>
      <dsp:spPr>
        <a:xfrm>
          <a:off x="3546" y="98796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گاز شیرین شده</a:t>
          </a:r>
        </a:p>
      </dsp:txBody>
      <dsp:txXfrm>
        <a:off x="30793" y="126043"/>
        <a:ext cx="1495984" cy="875793"/>
      </dsp:txXfrm>
    </dsp:sp>
    <dsp:sp modelId="{88475616-C0ED-4F22-A3D3-BA4965987573}">
      <dsp:nvSpPr>
        <dsp:cNvPr id="0" name=""/>
        <dsp:cNvSpPr/>
      </dsp:nvSpPr>
      <dsp:spPr>
        <a:xfrm>
          <a:off x="1709073" y="371681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1709073" y="448585"/>
        <a:ext cx="230091" cy="230710"/>
      </dsp:txXfrm>
    </dsp:sp>
    <dsp:sp modelId="{DB8ECC8D-25F3-4EF7-BF04-D9BA4E1A86C4}">
      <dsp:nvSpPr>
        <dsp:cNvPr id="0" name=""/>
        <dsp:cNvSpPr/>
      </dsp:nvSpPr>
      <dsp:spPr>
        <a:xfrm>
          <a:off x="2174216" y="98796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جداسازی گاز مایع و میعانات گازی</a:t>
          </a:r>
        </a:p>
      </dsp:txBody>
      <dsp:txXfrm>
        <a:off x="2201463" y="126043"/>
        <a:ext cx="1495984" cy="875793"/>
      </dsp:txXfrm>
    </dsp:sp>
    <dsp:sp modelId="{D91B0E1A-8017-4F3D-AD27-95C00ABA4096}">
      <dsp:nvSpPr>
        <dsp:cNvPr id="0" name=""/>
        <dsp:cNvSpPr/>
      </dsp:nvSpPr>
      <dsp:spPr>
        <a:xfrm>
          <a:off x="3879743" y="371681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3879743" y="448585"/>
        <a:ext cx="230091" cy="230710"/>
      </dsp:txXfrm>
    </dsp:sp>
    <dsp:sp modelId="{B5C22872-3137-4B77-831D-59403E6B4AA5}">
      <dsp:nvSpPr>
        <dsp:cNvPr id="0" name=""/>
        <dsp:cNvSpPr/>
      </dsp:nvSpPr>
      <dsp:spPr>
        <a:xfrm>
          <a:off x="4344887" y="98796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تولید برق</a:t>
          </a:r>
        </a:p>
      </dsp:txBody>
      <dsp:txXfrm>
        <a:off x="4372134" y="126043"/>
        <a:ext cx="1495984" cy="875793"/>
      </dsp:txXfrm>
    </dsp:sp>
    <dsp:sp modelId="{3DDA72CD-E63B-4996-9198-783226464554}">
      <dsp:nvSpPr>
        <dsp:cNvPr id="0" name=""/>
        <dsp:cNvSpPr/>
      </dsp:nvSpPr>
      <dsp:spPr>
        <a:xfrm>
          <a:off x="6050414" y="371681"/>
          <a:ext cx="328701" cy="384518"/>
        </a:xfrm>
        <a:prstGeom prst="rightArrow">
          <a:avLst>
            <a:gd name="adj1" fmla="val 60000"/>
            <a:gd name="adj2" fmla="val 5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5334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fa-IR" sz="1200" b="1" kern="1200">
            <a:solidFill>
              <a:srgbClr val="C00000"/>
            </a:solidFill>
            <a:cs typeface="B Nazanin" panose="00000400000000000000" pitchFamily="2" charset="-78"/>
          </a:endParaRPr>
        </a:p>
      </dsp:txBody>
      <dsp:txXfrm>
        <a:off x="6050414" y="448585"/>
        <a:ext cx="230091" cy="230710"/>
      </dsp:txXfrm>
    </dsp:sp>
    <dsp:sp modelId="{595231F1-C516-4F01-8738-B19B55106AB5}">
      <dsp:nvSpPr>
        <dsp:cNvPr id="0" name=""/>
        <dsp:cNvSpPr/>
      </dsp:nvSpPr>
      <dsp:spPr>
        <a:xfrm>
          <a:off x="6515557" y="98796"/>
          <a:ext cx="1550478" cy="930287"/>
        </a:xfrm>
        <a:prstGeom prst="roundRect">
          <a:avLst>
            <a:gd name="adj" fmla="val 10000"/>
          </a:avLst>
        </a:prstGeom>
        <a:solidFill>
          <a:schemeClr val="lt1"/>
        </a:solidFill>
        <a:ln w="25400" cap="flat" cmpd="sng" algn="ctr">
          <a:solidFill>
            <a:schemeClr val="accent3"/>
          </a:solidFill>
          <a:prstDash val="solid"/>
        </a:ln>
        <a:effectLst/>
      </dsp:spPr>
      <dsp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dsp:style>
      <dsp:txBody>
        <a:bodyPr spcFirstLastPara="0" vert="horz" wrap="square" lIns="64770" tIns="64770" rIns="64770" bIns="64770" numCol="1" spcCol="1270" anchor="ctr" anchorCtr="0">
          <a:noAutofit/>
        </a:bodyPr>
        <a:lstStyle/>
        <a:p>
          <a:pPr marL="0" lvl="0" indent="0" algn="ctr" defTabSz="75565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fa-IR" sz="1700" b="1" kern="1200">
              <a:solidFill>
                <a:srgbClr val="C00000"/>
              </a:solidFill>
              <a:cs typeface="B Nazanin" panose="00000400000000000000" pitchFamily="2" charset="-78"/>
            </a:rPr>
            <a:t>استخراج رمز ارز</a:t>
          </a:r>
        </a:p>
      </dsp:txBody>
      <dsp:txXfrm>
        <a:off x="6542804" y="126043"/>
        <a:ext cx="1495984" cy="875793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5444</xdr:colOff>
      <xdr:row>0</xdr:row>
      <xdr:rowOff>0</xdr:rowOff>
    </xdr:from>
    <xdr:to>
      <xdr:col>5</xdr:col>
      <xdr:colOff>1217027</xdr:colOff>
      <xdr:row>4</xdr:row>
      <xdr:rowOff>136071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1B14312-11DE-C92C-9ACD-E8A344711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84364</xdr:colOff>
      <xdr:row>34</xdr:row>
      <xdr:rowOff>78700</xdr:rowOff>
    </xdr:from>
    <xdr:to>
      <xdr:col>4</xdr:col>
      <xdr:colOff>968011</xdr:colOff>
      <xdr:row>61</xdr:row>
      <xdr:rowOff>48170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12D6F1-8C83-455D-A6BC-A08C9C4BB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345279</xdr:colOff>
      <xdr:row>2</xdr:row>
      <xdr:rowOff>42861</xdr:rowOff>
    </xdr:from>
    <xdr:to>
      <xdr:col>21</xdr:col>
      <xdr:colOff>247649</xdr:colOff>
      <xdr:row>24</xdr:row>
      <xdr:rowOff>157161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24876B-55D0-4C4D-C76A-612F2D749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502578</xdr:colOff>
      <xdr:row>2</xdr:row>
      <xdr:rowOff>99739</xdr:rowOff>
    </xdr:from>
    <xdr:to>
      <xdr:col>17</xdr:col>
      <xdr:colOff>257038</xdr:colOff>
      <xdr:row>19</xdr:row>
      <xdr:rowOff>138520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3BFF35E-9444-E911-6EFF-99A5F4CCA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hmadiyan\Desktop\STATE%20FINANCE\STAT%20F83\12%20MONTH\yaddasht%20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گردش وجوه"/>
      <sheetName val="بانكها"/>
      <sheetName val="سرمايه گذاريهاي كوتاه مدت"/>
      <sheetName val="ساير حسابهاي دريافتني "/>
      <sheetName val="مواد "/>
      <sheetName val="سفارشات و پيش پرداختها"/>
      <sheetName val="اموال و ماشين آلات"/>
      <sheetName val="داراييهاي مشهود"/>
      <sheetName val="دارايي ثابت فروش رفته"/>
      <sheetName val="داراييهاي نامشهود"/>
      <sheetName val="سرمايه گذاريها"/>
      <sheetName val="حسابها واسناد پرداختني "/>
      <sheetName val="ساير حسابهاي پرداختني"/>
      <sheetName val="پيش دريافتها "/>
      <sheetName val="سود سهام پرداختني "/>
      <sheetName val="تسهيلات مالي دريافتي"/>
      <sheetName val="سرمايه و اندوخته"/>
      <sheetName val="فروش "/>
      <sheetName val="فروش پايه"/>
      <sheetName val="مقايسه فروش و قيمت تمام شده"/>
      <sheetName val="قيمت تمام شده "/>
      <sheetName val="هزينه ها "/>
      <sheetName val="خالص ساير درآمدها"/>
      <sheetName val="خالص ساير درآمدهاي غير عملياتي"/>
      <sheetName val="دارائي"/>
      <sheetName val="بدهي"/>
      <sheetName val="سود و زيان"/>
      <sheetName val="صورت تطبيق"/>
      <sheetName val="حسابهاي انتظامي"/>
      <sheetName val="تعهدات و رويدادها"/>
      <sheetName val="مقايسه بودجه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hamidreza Mehrbod" id="{5417EF0E-9F23-40B8-B8F0-E09BA0B8B0E2}" userId="e5bacc2409068c3a" providerId="Windows Live"/>
</personList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6.697451041669" createdVersion="8" refreshedVersion="8" minRefreshableVersion="3" recordCount="6336" xr:uid="{8D4B77E5-F10E-46F1-81D6-98486B2A75AC}">
  <cacheSource type="worksheet">
    <worksheetSource ref="A1:B1048576" sheet="پيش بيني هش ريت"/>
  </cacheSource>
  <cacheFields count="5">
    <cacheField name="DateTime" numFmtId="0">
      <sharedItems containsNonDate="0" containsDate="1" containsString="0" containsBlank="1" minDate="2009-01-03T00:00:00" maxDate="2026-05-13T00:00:00" count="6335">
        <d v="2009-01-03T00:00:00"/>
        <d v="2009-01-09T00:00:00"/>
        <d v="2009-01-10T00:00:00"/>
        <d v="2009-01-11T00:00:00"/>
        <d v="2009-01-12T00:00:00"/>
        <d v="2009-01-13T00:00:00"/>
        <d v="2009-01-14T00:00:00"/>
        <d v="2009-01-15T00:00:00"/>
        <d v="2009-01-16T00:00:00"/>
        <d v="2009-01-17T00:00:00"/>
        <d v="2009-01-18T00:00:00"/>
        <d v="2009-01-19T00:00:00"/>
        <d v="2009-01-20T00:00:00"/>
        <d v="2009-01-21T00:00:00"/>
        <d v="2009-01-22T00:00:00"/>
        <d v="2009-01-23T00:00:00"/>
        <d v="2009-01-24T00:00:00"/>
        <d v="2009-01-25T00:00:00"/>
        <d v="2009-01-26T00:00:00"/>
        <d v="2009-01-27T00:00:00"/>
        <d v="2009-01-28T00:00:00"/>
        <d v="2009-01-29T00:00:00"/>
        <d v="2009-01-30T00:00:00"/>
        <d v="2009-01-31T00:00:00"/>
        <d v="2009-02-01T00:00:00"/>
        <d v="2009-02-02T00:00:00"/>
        <d v="2009-02-03T00:00:00"/>
        <d v="2009-02-04T00:00:00"/>
        <d v="2009-02-05T00:00:00"/>
        <d v="2009-02-06T00:00:00"/>
        <d v="2009-02-07T00:00:00"/>
        <d v="2009-02-08T00:00:00"/>
        <d v="2009-02-09T00:00:00"/>
        <d v="2009-02-10T00:00:00"/>
        <d v="2009-02-11T00:00:00"/>
        <d v="2009-02-12T00:00:00"/>
        <d v="2009-02-13T00:00:00"/>
        <d v="2009-02-14T00:00:00"/>
        <d v="2009-02-15T00:00:00"/>
        <d v="2009-02-16T00:00:00"/>
        <d v="2009-02-17T00:00:00"/>
        <d v="2009-02-18T00:00:00"/>
        <d v="2009-02-19T00:00:00"/>
        <d v="2009-02-20T00:00:00"/>
        <d v="2009-02-21T00:00:00"/>
        <d v="2009-02-22T00:00:00"/>
        <d v="2009-02-23T00:00:00"/>
        <d v="2009-02-24T00:00:00"/>
        <d v="2009-02-25T00:00:00"/>
        <d v="2009-02-26T00:00:00"/>
        <d v="2009-02-27T00:00:00"/>
        <d v="2009-02-28T00:00:00"/>
        <d v="2009-03-01T00:00:00"/>
        <d v="2009-03-02T00:00:00"/>
        <d v="2009-03-03T00:00:00"/>
        <d v="2009-03-04T00:00:00"/>
        <d v="2009-03-05T00:00:00"/>
        <d v="2009-03-06T00:00:00"/>
        <d v="2009-03-07T00:00:00"/>
        <d v="2009-03-08T00:00:00"/>
        <d v="2009-03-09T00:00:00"/>
        <d v="2009-03-10T00:00:00"/>
        <d v="2009-03-11T00:00:00"/>
        <d v="2009-03-12T00:00:00"/>
        <d v="2009-03-13T00:00:00"/>
        <d v="2009-03-14T00:00:00"/>
        <d v="2009-03-15T00:00:00"/>
        <d v="2009-03-16T00:00:00"/>
        <d v="2009-03-17T00:00:00"/>
        <d v="2009-03-18T00:00:00"/>
        <d v="2009-03-19T00:00:00"/>
        <d v="2009-03-20T00:00:00"/>
        <d v="2009-03-21T00:00:00"/>
        <d v="2009-03-22T00:00:00"/>
        <d v="2009-03-23T00:00:00"/>
        <d v="2009-03-24T00:00:00"/>
        <d v="2009-03-25T00:00:00"/>
        <d v="2009-03-26T00:00:00"/>
        <d v="2009-03-27T00:00:00"/>
        <d v="2009-03-28T00:00:00"/>
        <d v="2009-03-29T00:00:00"/>
        <d v="2009-03-30T00:00:00"/>
        <d v="2009-03-31T00:00:00"/>
        <d v="2009-04-01T00:00:00"/>
        <d v="2009-04-02T00:00:00"/>
        <d v="2009-04-03T00:00:00"/>
        <d v="2009-04-04T00:00:00"/>
        <d v="2009-04-05T00:00:00"/>
        <d v="2009-04-06T00:00:00"/>
        <d v="2009-04-07T00:00:00"/>
        <d v="2009-04-08T00:00:00"/>
        <d v="2009-04-09T00:00:00"/>
        <d v="2009-04-10T00:00:00"/>
        <d v="2009-04-11T00:00:00"/>
        <d v="2009-04-12T00:00:00"/>
        <d v="2009-04-13T00:00:00"/>
        <d v="2009-04-14T00:00:00"/>
        <d v="2009-04-15T00:00:00"/>
        <d v="2009-04-16T00:00:00"/>
        <d v="2009-04-17T00:00:00"/>
        <d v="2009-04-18T00:00:00"/>
        <d v="2009-04-19T00:00:00"/>
        <d v="2009-04-20T00:00:00"/>
        <d v="2009-04-21T00:00:00"/>
        <d v="2009-04-22T00:00:00"/>
        <d v="2009-04-23T00:00:00"/>
        <d v="2009-04-24T00:00:00"/>
        <d v="2009-04-25T00:00:00"/>
        <d v="2009-04-26T00:00:00"/>
        <d v="2009-04-27T00:00:00"/>
        <d v="2009-04-28T00:00:00"/>
        <d v="2009-04-29T00:00:00"/>
        <d v="2009-04-30T00:00:00"/>
        <d v="2009-05-01T00:00:00"/>
        <d v="2009-05-02T00:00:00"/>
        <d v="2009-05-03T00:00:00"/>
        <d v="2009-05-04T00:00:00"/>
        <d v="2009-05-05T00:00:00"/>
        <d v="2009-05-06T00:00:00"/>
        <d v="2009-05-07T00:00:00"/>
        <d v="2009-05-08T00:00:00"/>
        <d v="2009-05-09T00:00:00"/>
        <d v="2009-05-10T00:00:00"/>
        <d v="2009-05-11T00:00:00"/>
        <d v="2009-05-12T00:00:00"/>
        <d v="2009-05-13T00:00:00"/>
        <d v="2009-05-14T00:00:00"/>
        <d v="2009-05-15T00:00:00"/>
        <d v="2009-05-16T00:00:00"/>
        <d v="2009-05-17T00:00:00"/>
        <d v="2009-05-18T00:00:00"/>
        <d v="2009-05-19T00:00:00"/>
        <d v="2009-05-20T00:00:00"/>
        <d v="2009-05-21T00:00:00"/>
        <d v="2009-05-22T00:00:00"/>
        <d v="2009-05-23T00:00:00"/>
        <d v="2009-05-24T00:00:00"/>
        <d v="2009-05-25T00:00:00"/>
        <d v="2009-05-26T00:00:00"/>
        <d v="2009-05-27T00:00:00"/>
        <d v="2009-05-28T00:00:00"/>
        <d v="2009-05-29T00:00:00"/>
        <d v="2009-05-30T00:00:00"/>
        <d v="2009-05-31T00:00:00"/>
        <d v="2009-06-01T00:00:00"/>
        <d v="2009-06-02T00:00:00"/>
        <d v="2009-06-03T00:00:00"/>
        <d v="2009-06-04T00:00:00"/>
        <d v="2009-06-05T00:00:00"/>
        <d v="2009-06-06T00:00:00"/>
        <d v="2009-06-07T00:00:00"/>
        <d v="2009-06-08T00:00:00"/>
        <d v="2009-06-09T00:00:00"/>
        <d v="2009-06-10T00:00:00"/>
        <d v="2009-06-11T00:00:00"/>
        <d v="2009-06-12T00:00:00"/>
        <d v="2009-06-13T00:00:00"/>
        <d v="2009-06-14T00:00:00"/>
        <d v="2009-06-15T00:00:00"/>
        <d v="2009-06-16T00:00:00"/>
        <d v="2009-06-17T00:00:00"/>
        <d v="2009-06-18T00:00:00"/>
        <d v="2009-06-19T00:00:00"/>
        <d v="2009-06-20T00:00:00"/>
        <d v="2009-06-21T00:00:00"/>
        <d v="2009-06-22T00:00:00"/>
        <d v="2009-06-23T00:00:00"/>
        <d v="2009-06-24T00:00:00"/>
        <d v="2009-06-25T00:00:00"/>
        <d v="2009-06-26T00:00:00"/>
        <d v="2009-06-27T00:00:00"/>
        <d v="2009-06-28T00:00:00"/>
        <d v="2009-06-29T00:00:00"/>
        <d v="2009-06-30T00:00:00"/>
        <d v="2009-07-01T00:00:00"/>
        <d v="2009-07-02T00:00:00"/>
        <d v="2009-07-03T00:00:00"/>
        <d v="2009-07-04T00:00:00"/>
        <d v="2009-07-05T00:00:00"/>
        <d v="2009-07-06T00:00:00"/>
        <d v="2009-07-07T00:00:00"/>
        <d v="2009-07-08T00:00:00"/>
        <d v="2009-07-09T00:00:00"/>
        <d v="2009-07-10T00:00:00"/>
        <d v="2009-07-11T00:00:00"/>
        <d v="2009-07-12T00:00:00"/>
        <d v="2009-07-13T00:00:00"/>
        <d v="2009-07-14T00:00:00"/>
        <d v="2009-07-15T00:00:00"/>
        <d v="2009-07-16T00:00:00"/>
        <d v="2009-07-17T00:00:00"/>
        <d v="2009-07-18T00:00:00"/>
        <d v="2009-07-19T00:00:00"/>
        <d v="2009-07-20T00:00:00"/>
        <d v="2009-07-21T00:00:00"/>
        <d v="2009-07-22T00:00:00"/>
        <d v="2009-07-23T00:00:00"/>
        <d v="2009-07-24T00:00:00"/>
        <d v="2009-07-25T00:00:00"/>
        <d v="2009-07-26T00:00:00"/>
        <d v="2009-07-27T00:00:00"/>
        <d v="2009-07-28T00:00:00"/>
        <d v="2009-07-29T00:00:00"/>
        <d v="2009-07-30T00:00:00"/>
        <d v="2009-07-31T00:00:00"/>
        <d v="2009-08-01T00:00:00"/>
        <d v="2009-08-02T00:00:00"/>
        <d v="2009-08-03T00:00:00"/>
        <d v="2009-08-04T00:00:00"/>
        <d v="2009-08-05T00:00:00"/>
        <d v="2009-08-06T00:00:00"/>
        <d v="2009-08-07T00:00:00"/>
        <d v="2009-08-08T00:00:00"/>
        <d v="2009-08-09T00:00:00"/>
        <d v="2009-08-10T00:00:00"/>
        <d v="2009-08-11T00:00:00"/>
        <d v="2009-08-12T00:00:00"/>
        <d v="2009-08-13T00:00:00"/>
        <d v="2009-08-14T00:00:00"/>
        <d v="2009-08-15T00:00:00"/>
        <d v="2009-08-16T00:00:00"/>
        <d v="2009-08-17T00:00:00"/>
        <d v="2009-08-18T00:00:00"/>
        <d v="2009-08-19T00:00:00"/>
        <d v="2009-08-20T00:00:00"/>
        <d v="2009-08-21T00:00:00"/>
        <d v="2009-08-22T00:00:00"/>
        <d v="2009-08-23T00:00:00"/>
        <d v="2009-08-24T00:00:00"/>
        <d v="2009-08-25T00:00:00"/>
        <d v="2009-08-26T00:00:00"/>
        <d v="2009-08-27T00:00:00"/>
        <d v="2009-08-28T00:00:00"/>
        <d v="2009-08-29T00:00:00"/>
        <d v="2009-08-30T00:00:00"/>
        <d v="2009-08-31T00:00:00"/>
        <d v="2009-09-01T00:00:00"/>
        <d v="2009-09-02T00:00:00"/>
        <d v="2009-09-03T00:00:00"/>
        <d v="2009-09-04T00:00:00"/>
        <d v="2009-09-05T00:00:00"/>
        <d v="2009-09-06T00:00:00"/>
        <d v="2009-09-07T00:00:00"/>
        <d v="2009-09-08T00:00:00"/>
        <d v="2009-09-09T00:00:00"/>
        <d v="2009-09-10T00:00:00"/>
        <d v="2009-09-11T00:00:00"/>
        <d v="2009-09-12T00:00:00"/>
        <d v="2009-09-13T00:00:00"/>
        <d v="2009-09-14T00:00:00"/>
        <d v="2009-09-15T00:00:00"/>
        <d v="2009-09-16T00:00:00"/>
        <d v="2009-09-17T00:00:00"/>
        <d v="2009-09-18T00:00:00"/>
        <d v="2009-09-19T00:00:00"/>
        <d v="2009-09-20T00:00:00"/>
        <d v="2009-09-21T00:00:00"/>
        <d v="2009-09-22T00:00:00"/>
        <d v="2009-09-23T00:00:00"/>
        <d v="2009-09-24T00:00:00"/>
        <d v="2009-09-25T00:00:00"/>
        <d v="2009-09-26T00:00:00"/>
        <d v="2009-09-27T00:00:00"/>
        <d v="2009-09-28T00:00:00"/>
        <d v="2009-09-29T00:00:00"/>
        <d v="2009-09-30T00:00:00"/>
        <d v="2009-10-01T00:00:00"/>
        <d v="2009-10-02T00:00:00"/>
        <d v="2009-10-03T00:00:00"/>
        <d v="2009-10-04T00:00:00"/>
        <d v="2009-10-05T00:00:00"/>
        <d v="2009-10-06T00:00:00"/>
        <d v="2009-10-07T00:00:00"/>
        <d v="2009-10-08T00:00:00"/>
        <d v="2009-10-09T00:00:00"/>
        <d v="2009-10-10T00:00:00"/>
        <d v="2009-10-11T00:00:00"/>
        <d v="2009-10-12T00:00:00"/>
        <d v="2009-10-13T00:00:00"/>
        <d v="2009-10-14T00:00:00"/>
        <d v="2009-10-15T00:00:00"/>
        <d v="2009-10-16T00:00:00"/>
        <d v="2009-10-17T00:00:00"/>
        <d v="2009-10-18T00:00:00"/>
        <d v="2009-10-19T00:00:00"/>
        <d v="2009-10-20T00:00:00"/>
        <d v="2009-10-21T00:00:00"/>
        <d v="2009-10-22T00:00:00"/>
        <d v="2009-10-23T00:00:00"/>
        <d v="2009-10-24T00:00:00"/>
        <d v="2009-10-25T00:00:00"/>
        <d v="2009-10-26T00:00:00"/>
        <d v="2009-10-27T00:00:00"/>
        <d v="2009-10-28T00:00:00"/>
        <d v="2009-10-29T00:00:00"/>
        <d v="2009-10-30T00:00:00"/>
        <d v="2009-10-31T00:00:00"/>
        <d v="2009-11-01T00:00:00"/>
        <d v="2009-11-02T00:00:00"/>
        <d v="2009-11-03T00:00:00"/>
        <d v="2009-11-04T00:00:00"/>
        <d v="2009-11-05T00:00:00"/>
        <d v="2009-11-06T00:00:00"/>
        <d v="2009-11-07T00:00:00"/>
        <d v="2009-11-08T00:00:00"/>
        <d v="2009-11-09T00:00:00"/>
        <d v="2009-11-10T00:00:00"/>
        <d v="2009-11-11T00:00:00"/>
        <d v="2009-11-12T00:00:00"/>
        <d v="2009-11-13T00:00:00"/>
        <d v="2009-11-14T00:00:00"/>
        <d v="2009-11-15T00:00:00"/>
        <d v="2009-11-16T00:00:00"/>
        <d v="2009-11-17T00:00:00"/>
        <d v="2009-11-18T00:00:00"/>
        <d v="2009-11-19T00:00:00"/>
        <d v="2009-11-20T00:00:00"/>
        <d v="2009-11-21T00:00:00"/>
        <d v="2009-11-22T00:00:00"/>
        <d v="2009-11-23T00:00:00"/>
        <d v="2009-11-24T00:00:00"/>
        <d v="2009-11-25T00:00:00"/>
        <d v="2009-11-26T00:00:00"/>
        <d v="2009-11-27T00:00:00"/>
        <d v="2009-11-28T00:00:00"/>
        <d v="2009-11-29T00:00:00"/>
        <d v="2009-11-30T00:00:00"/>
        <d v="2009-12-01T00:00:00"/>
        <d v="2009-12-02T00:00:00"/>
        <d v="2009-12-03T00:00:00"/>
        <d v="2009-12-04T00:00:00"/>
        <d v="2009-12-05T00:00:00"/>
        <d v="2009-12-06T00:00:00"/>
        <d v="2009-12-07T00:00:00"/>
        <d v="2009-12-08T00:00:00"/>
        <d v="2009-12-09T00:00:00"/>
        <d v="2009-12-10T00:00:00"/>
        <d v="2009-12-11T00:00:00"/>
        <d v="2009-12-12T00:00:00"/>
        <d v="2009-12-13T00:00:00"/>
        <d v="2009-12-14T00:00:00"/>
        <d v="2009-12-15T00:00:00"/>
        <d v="2009-12-16T00:00:00"/>
        <d v="2009-12-17T00:00:00"/>
        <d v="2009-12-18T00:00:00"/>
        <d v="2009-12-19T00:00:00"/>
        <d v="2009-12-20T00:00:00"/>
        <d v="2009-12-21T00:00:00"/>
        <d v="2009-12-22T00:00:00"/>
        <d v="2009-12-23T00:00:00"/>
        <d v="2009-12-24T00:00:00"/>
        <d v="2009-12-25T00:00:00"/>
        <d v="2009-12-26T00:00:00"/>
        <d v="2009-12-27T00:00:00"/>
        <d v="2009-12-28T00:00:00"/>
        <d v="2009-12-29T00:00:00"/>
        <d v="2009-12-30T00:00:00"/>
        <d v="2009-12-31T00:00:00"/>
        <d v="2010-01-01T00:00:00"/>
        <d v="2010-01-02T00:00:00"/>
        <d v="2010-01-03T00:00:00"/>
        <d v="2010-01-04T00:00:00"/>
        <d v="2010-01-05T00:00:00"/>
        <d v="2010-01-06T00:00:00"/>
        <d v="2010-01-07T00:00:00"/>
        <d v="2010-01-08T00:00:00"/>
        <d v="2010-01-09T00:00:00"/>
        <d v="2010-01-10T00:00:00"/>
        <d v="2010-01-11T00:00:00"/>
        <d v="2010-01-12T00:00:00"/>
        <d v="2010-01-13T00:00:00"/>
        <d v="2010-01-14T00:00:00"/>
        <d v="2010-01-15T00:00:00"/>
        <d v="2010-01-16T00:00:00"/>
        <d v="2010-01-17T00:00:00"/>
        <d v="2010-01-18T00:00:00"/>
        <d v="2010-01-19T00:00:00"/>
        <d v="2010-01-20T00:00:00"/>
        <d v="2010-01-21T00:00:00"/>
        <d v="2010-01-22T00:00:00"/>
        <d v="2010-01-23T00:00:00"/>
        <d v="2010-01-24T00:00:00"/>
        <d v="2010-01-25T00:00:00"/>
        <d v="2010-01-26T00:00:00"/>
        <d v="2010-01-27T00:00:00"/>
        <d v="2010-01-28T00:00:00"/>
        <d v="2010-01-29T00:00:00"/>
        <d v="2010-01-30T00:00:00"/>
        <d v="2010-01-31T00:00:00"/>
        <d v="2010-02-01T00:00:00"/>
        <d v="2010-02-02T00:00:00"/>
        <d v="2010-02-03T00:00:00"/>
        <d v="2010-02-04T00:00:00"/>
        <d v="2010-02-05T00:00:00"/>
        <d v="2010-02-06T00:00:00"/>
        <d v="2010-02-07T00:00:00"/>
        <d v="2010-02-08T00:00:00"/>
        <d v="2010-02-09T00:00:00"/>
        <d v="2010-02-10T00:00:00"/>
        <d v="2010-02-11T00:00:00"/>
        <d v="2010-02-12T00:00:00"/>
        <d v="2010-02-13T00:00:00"/>
        <d v="2010-02-14T00:00:00"/>
        <d v="2010-02-15T00:00:00"/>
        <d v="2010-02-16T00:00:00"/>
        <d v="2010-02-17T00:00:00"/>
        <d v="2010-02-18T00:00:00"/>
        <d v="2010-02-19T00:00:00"/>
        <d v="2010-02-20T00:00:00"/>
        <d v="2010-02-21T00:00:00"/>
        <d v="2010-02-22T00:00:00"/>
        <d v="2010-02-23T00:00:00"/>
        <d v="2010-02-24T00:00:00"/>
        <d v="2010-02-25T00:00:00"/>
        <d v="2010-02-26T00:00:00"/>
        <d v="2010-02-27T00:00:00"/>
        <d v="2010-02-28T00:00:00"/>
        <d v="2010-03-01T00:00:00"/>
        <d v="2010-03-02T00:00:00"/>
        <d v="2010-03-03T00:00:00"/>
        <d v="2010-03-04T00:00:00"/>
        <d v="2010-03-05T00:00:00"/>
        <d v="2010-03-06T00:00:00"/>
        <d v="2010-03-07T00:00:00"/>
        <d v="2010-03-08T00:00:00"/>
        <d v="2010-03-09T00:00:00"/>
        <d v="2010-03-10T00:00:00"/>
        <d v="2010-03-11T00:00:00"/>
        <d v="2010-03-12T00:00:00"/>
        <d v="2010-03-13T00:00:00"/>
        <d v="2010-03-14T00:00:00"/>
        <d v="2010-03-15T00:00:00"/>
        <d v="2010-03-16T00:00:00"/>
        <d v="2010-03-17T00:00:00"/>
        <d v="2010-03-18T00:00:00"/>
        <d v="2010-03-19T00:00:00"/>
        <d v="2010-03-20T00:00:00"/>
        <d v="2010-03-21T00:00:00"/>
        <d v="2010-03-22T00:00:00"/>
        <d v="2010-03-23T00:00:00"/>
        <d v="2010-03-24T00:00:00"/>
        <d v="2010-03-25T00:00:00"/>
        <d v="2010-03-26T00:00:00"/>
        <d v="2010-03-27T00:00:00"/>
        <d v="2010-03-28T00:00:00"/>
        <d v="2010-03-29T00:00:00"/>
        <d v="2010-03-30T00:00:00"/>
        <d v="2010-03-31T00:00:00"/>
        <d v="2010-04-01T00:00:00"/>
        <d v="2010-04-02T00:00:00"/>
        <d v="2010-04-03T00:00:00"/>
        <d v="2010-04-04T00:00:00"/>
        <d v="2010-04-05T00:00:00"/>
        <d v="2010-04-06T00:00:00"/>
        <d v="2010-04-07T00:00:00"/>
        <d v="2010-04-08T00:00:00"/>
        <d v="2010-04-09T00:00:00"/>
        <d v="2010-04-10T00:00:00"/>
        <d v="2010-04-11T00:00:00"/>
        <d v="2010-04-12T00:00:00"/>
        <d v="2010-04-13T00:00:00"/>
        <d v="2010-04-14T00:00:00"/>
        <d v="2010-04-15T00:00:00"/>
        <d v="2010-04-16T00:00:00"/>
        <d v="2010-04-17T00:00:00"/>
        <d v="2010-04-18T00:00:00"/>
        <d v="2010-04-19T00:00:00"/>
        <d v="2010-04-20T00:00:00"/>
        <d v="2010-04-21T00:00:00"/>
        <d v="2010-04-22T00:00:00"/>
        <d v="2010-04-23T00:00:00"/>
        <d v="2010-04-24T00:00:00"/>
        <d v="2010-04-25T00:00:00"/>
        <d v="2010-04-26T00:00:00"/>
        <d v="2010-04-27T00:00:00"/>
        <d v="2010-04-28T00:00:00"/>
        <d v="2010-04-29T00:00:00"/>
        <d v="2010-04-30T00:00:00"/>
        <d v="2010-05-01T00:00:00"/>
        <d v="2010-05-02T00:00:00"/>
        <d v="2010-05-03T00:00:00"/>
        <d v="2010-05-04T00:00:00"/>
        <d v="2010-05-05T00:00:00"/>
        <d v="2010-05-06T00:00:00"/>
        <d v="2010-05-07T00:00:00"/>
        <d v="2010-05-08T00:00:00"/>
        <d v="2010-05-09T00:00:00"/>
        <d v="2010-05-10T00:00:00"/>
        <d v="2010-05-11T00:00:00"/>
        <d v="2010-05-12T00:00:00"/>
        <d v="2010-05-13T00:00:00"/>
        <d v="2010-05-14T00:00:00"/>
        <d v="2010-05-15T00:00:00"/>
        <d v="2010-05-16T00:00:00"/>
        <d v="2010-05-17T00:00:00"/>
        <d v="2010-05-18T00:00:00"/>
        <d v="2010-05-19T00:00:00"/>
        <d v="2010-05-20T00:00:00"/>
        <d v="2010-05-21T00:00:00"/>
        <d v="2010-05-22T00:00:00"/>
        <d v="2010-05-23T00:00:00"/>
        <d v="2010-05-24T00:00:00"/>
        <d v="2010-05-25T00:00:00"/>
        <d v="2010-05-26T00:00:00"/>
        <d v="2010-05-27T00:00:00"/>
        <d v="2010-05-28T00:00:00"/>
        <d v="2010-05-29T00:00:00"/>
        <d v="2010-05-30T00:00:00"/>
        <d v="2010-05-31T00:00:00"/>
        <d v="2010-06-01T00:00:00"/>
        <d v="2010-06-02T00:00:00"/>
        <d v="2010-06-03T00:00:00"/>
        <d v="2010-06-04T00:00:00"/>
        <d v="2010-06-05T00:00:00"/>
        <d v="2010-06-06T00:00:00"/>
        <d v="2010-06-07T00:00:00"/>
        <d v="2010-06-08T00:00:00"/>
        <d v="2010-06-09T00:00:00"/>
        <d v="2010-06-10T00:00:00"/>
        <d v="2010-06-11T00:00:00"/>
        <d v="2010-06-12T00:00:00"/>
        <d v="2010-06-13T00:00:00"/>
        <d v="2010-06-14T00:00:00"/>
        <d v="2010-06-15T00:00:00"/>
        <d v="2010-06-16T00:00:00"/>
        <d v="2010-06-17T00:00:00"/>
        <d v="2010-06-18T00:00:00"/>
        <d v="2010-06-19T00:00:00"/>
        <d v="2010-06-20T00:00:00"/>
        <d v="2010-06-21T00:00:00"/>
        <d v="2010-06-22T00:00:00"/>
        <d v="2010-06-23T00:00:00"/>
        <d v="2010-06-24T00:00:00"/>
        <d v="2010-06-25T00:00:00"/>
        <d v="2010-06-26T00:00:00"/>
        <d v="2010-06-27T00:00:00"/>
        <d v="2010-06-28T00:00:00"/>
        <d v="2010-06-29T00:00:00"/>
        <d v="2010-06-30T00:00:00"/>
        <d v="2010-07-01T00:00:00"/>
        <d v="2010-07-02T00:00:00"/>
        <d v="2010-07-03T00:00:00"/>
        <d v="2010-07-04T00:00:00"/>
        <d v="2010-07-05T00:00:00"/>
        <d v="2010-07-06T00:00:00"/>
        <d v="2010-07-07T00:00:00"/>
        <d v="2010-07-08T00:00:00"/>
        <d v="2010-07-09T00:00:00"/>
        <d v="2010-07-10T00:00:00"/>
        <d v="2010-07-11T00:00:00"/>
        <d v="2010-07-12T00:00:00"/>
        <d v="2010-07-13T00:00:00"/>
        <d v="2010-07-14T00:00:00"/>
        <d v="2010-07-15T00:00:00"/>
        <d v="2010-07-16T00:00:00"/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6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12T00:00:00"/>
        <d v="2024-08-13T00:00:00"/>
        <d v="2024-08-14T00:00:00"/>
        <d v="2024-08-15T00:00:00"/>
        <d v="2024-08-16T00:00:00"/>
        <d v="2024-08-17T00:00:00"/>
        <d v="2024-08-18T00:00:00"/>
        <d v="2024-08-19T00:00:00"/>
        <d v="2024-08-20T00:00:00"/>
        <d v="2024-08-21T00:00:00"/>
        <d v="2024-08-22T00:00:00"/>
        <d v="2024-08-23T00:00:00"/>
        <d v="2024-08-24T00:00:00"/>
        <d v="2024-08-25T00:00:00"/>
        <d v="2024-08-26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m/>
      </sharedItems>
      <fieldGroup par="4"/>
    </cacheField>
    <cacheField name="Hash Rate" numFmtId="0">
      <sharedItems containsString="0" containsBlank="1" containsNumber="1" minValue="49710.269629629598" maxValue="1.3054997230532601E+21" count="5379">
        <n v="49710.269629629598"/>
        <n v="944495.12296296295"/>
        <n v="3032326.4474073998"/>
        <n v="4623055.0755555499"/>
        <n v="4672765.3451851802"/>
        <n v="6114363.16444444"/>
        <n v="6412624.7822222197"/>
        <n v="6263493.9733333299"/>
        <n v="5368709.1200000001"/>
        <n v="5418419.3896296201"/>
        <n v="5318998.8503703699"/>
        <n v="5716681.0074073998"/>
        <n v="5666970.7377777696"/>
        <n v="5070447.5022222204"/>
        <n v="4523634.5362962903"/>
        <n v="4175662.6488888799"/>
        <n v="9991764.1955555491"/>
        <n v="9494661.4992592596"/>
        <n v="4772185.8844444398"/>
        <n v="4821896.15407407"/>
        <n v="5567550.19851851"/>
        <n v="6014942.6251851805"/>
        <n v="5816101.5466666603"/>
        <n v="6860017.20888888"/>
        <n v="5617260.4681481402"/>
        <n v="6362914.5125925904"/>
        <n v="6909727.4785185102"/>
        <n v="5915522.0859259199"/>
        <n v="6064652.8948148098"/>
        <n v="6561755.5911111096"/>
        <n v="6661176.1303703701"/>
        <n v="5965232.3555555502"/>
        <n v="6611465.8607407399"/>
        <n v="6164073.4340740703"/>
        <n v="6760596.6696296297"/>
        <n v="5865811.8162962897"/>
        <n v="5269288.5807407396"/>
        <n v="5219578.3111111103"/>
        <n v="4921316.6933333296"/>
        <n v="5169868.04148148"/>
        <n v="5468129.6592592504"/>
        <n v="2485513.4814814799"/>
        <n v="6462335.05185185"/>
        <n v="5766391.2770370301"/>
        <n v="4971026.9629629599"/>
        <n v="3728270.2222222202"/>
        <n v="6512045.3214814803"/>
        <n v="6710886.4000000004"/>
        <n v="3877401.03111111"/>
        <n v="4225372.9185185097"/>
        <n v="5517839.9288888797"/>
        <n v="6313204.2429629602"/>
        <n v="4275083.18814814"/>
        <n v="4076242.1096296199"/>
        <n v="1590728.6281481399"/>
        <n v="6213783.7037036996"/>
        <n v="4722475.6148148105"/>
        <n v="3529429.1437037"/>
        <n v="3280877.7955555501"/>
        <n v="1491308.0888888801"/>
        <n v="1391887.54962962"/>
        <n v="795364.31407407403"/>
        <n v="4424213.9970370298"/>
        <n v="3579139.4133333298"/>
        <n v="3927111.3007407398"/>
        <n v="3976821.5703703701"/>
        <n v="4324793.4577777702"/>
        <n v="4026531.8399999999"/>
        <n v="3777980.4918518499"/>
        <n v="3380298.3348148102"/>
        <n v="4473924.2666666601"/>
        <n v="2286672.4029629598"/>
        <n v="4125952.3792592501"/>
        <n v="3678559.9525925899"/>
        <n v="3430008.60444444"/>
        <n v="3827690.7614814802"/>
        <n v="2236962.13333333"/>
        <n v="2336382.6725925901"/>
        <n v="198841.07851851801"/>
        <n v="3479718.8740740698"/>
        <n v="2982616.17777777"/>
        <n v="3628849.6829629601"/>
        <n v="1043915.66222222"/>
        <n v="2038121.0548148099"/>
        <n v="745654.04444444401"/>
        <n v="845074.58370370301"/>
        <n v="1143336.2014814799"/>
        <n v="596523.23555555497"/>
        <n v="5020737.2325925902"/>
        <n v="3131746.9866666598"/>
        <n v="1292467.01037037"/>
        <n v="497102.69629629602"/>
        <n v="894784.85333333304"/>
        <n v="1093625.9318518499"/>
        <n v="695943.77481481398"/>
        <n v="347971.88740740699"/>
        <n v="2386092.9422222199"/>
        <n v="1441597.8192592501"/>
        <n v="3181457.2562962901"/>
        <n v="2684354.5600000001"/>
        <n v="3330588.0651851799"/>
        <n v="2187251.8637036998"/>
        <n v="1242756.74074074"/>
        <n v="1789569.70666666"/>
        <n v="4374503.7274073996"/>
        <n v="2883195.6385185099"/>
        <n v="2634644.2903703698"/>
        <n v="2734064.8296296201"/>
        <n v="2137541.59407407"/>
        <n v="2833485.3688888801"/>
        <n v="3082036.71703703"/>
        <n v="1640438.8977777699"/>
        <n v="4573344.8059259197"/>
        <n v="5120157.7718518497"/>
        <n v="8401035.5674073994"/>
        <n v="11184810.666666601"/>
        <n v="9842633.3866666593"/>
        <n v="8699297.1851851791"/>
        <n v="8053063.6799999997"/>
        <n v="7655381.5229629604"/>
        <n v="7406830.17481481"/>
        <n v="8649586.9155555498"/>
        <n v="8301615.0281481398"/>
        <n v="6810306.9392592497"/>
        <n v="8500456.1066666599"/>
        <n v="8291822.1050311103"/>
        <n v="8115400.3581155501"/>
        <n v="7762556.8642844399"/>
        <n v="7409713.3704533298"/>
        <n v="10938148.3087644"/>
        <n v="10644112.063905099"/>
        <n v="11643835.2964266"/>
        <n v="9585581.5824118499"/>
        <n v="9056316.3416651804"/>
        <n v="8997509.0926933307"/>
        <n v="8879894.5947496295"/>
        <n v="11173377.304651801"/>
        <n v="9350352.58652444"/>
        <n v="10314632.3967999"/>
        <n v="10638991.9061333"/>
        <n v="9276681.9669333305"/>
        <n v="9146938.1631999891"/>
        <n v="8108987.7333333297"/>
        <n v="8498219.1445333306"/>
        <n v="8044115.8314666599"/>
        <n v="10249760.4949333"/>
        <n v="11352582.826666599"/>
        <n v="8627962.9482666608"/>
        <n v="10379504.2986666"/>
        <n v="9990272.8874666598"/>
        <n v="13687971.293866601"/>
        <n v="13028067.464533299"/>
        <n v="10956938.7906844"/>
        <n v="11825476.6216533"/>
        <n v="13161688.669297701"/>
        <n v="14030226.5002666"/>
        <n v="11023749.3930666"/>
        <n v="12293150.838328799"/>
        <n v="9687537.3454222195"/>
        <n v="18038862.643199999"/>
        <n v="15299627.9455288"/>
        <n v="20164324.641754001"/>
        <n v="17361212.247608799"/>
        <n v="19621786.759016201"/>
        <n v="18084596.0912592"/>
        <n v="18717556.954453301"/>
        <n v="15191060.7166577"/>
        <n v="15281483.697114"/>
        <n v="16547405.423502199"/>
        <n v="20978131.465860698"/>
        <n v="18807979.934909601"/>
        <n v="22117490.845771801"/>
        <n v="24505174.516622201"/>
        <n v="30034547.2280651"/>
        <n v="26138852.8177303"/>
        <n v="24128171.831751101"/>
        <n v="28023866.2420859"/>
        <n v="32673566.022162899"/>
        <n v="31416890.4059259"/>
        <n v="32140224.5393066"/>
        <n v="28944997.538322899"/>
        <n v="32328179.068776298"/>
        <n v="29320906.5972622"/>
        <n v="36651133.246577702"/>
        <n v="35335451.540290304"/>
        <n v="28569088.4793837"/>
        <n v="34771587.951881401"/>
        <n v="33267951.7161244"/>
        <n v="33643860.775063701"/>
        <n v="28154653.9614814"/>
        <n v="32884635.8270103"/>
        <n v="36488431.534079902"/>
        <n v="29956551.815016199"/>
        <n v="27253705.034713998"/>
        <n v="34461296.448853299"/>
        <n v="30407026.2783999"/>
        <n v="28379891.1931733"/>
        <n v="30632263.5100918"/>
        <n v="31533212.436859202"/>
        <n v="43245548.484835498"/>
        <n v="41218413.399608798"/>
        <n v="40620001.173807397"/>
        <n v="46973967.837866597"/>
        <n v="38804582.126933299"/>
        <n v="42435420.220681399"/>
        <n v="44704694.029274002"/>
        <n v="40393073.792948097"/>
        <n v="42208492.839822203"/>
        <n v="44250839.267555498"/>
        <n v="48789386.884740703"/>
        <n v="47427822.599585101"/>
        <n v="50817814.436977699"/>
        <n v="47187970.548622198"/>
        <n v="48700405.502103701"/>
        <n v="51725275.409066603"/>
        <n v="46280509.576533303"/>
        <n v="48095431.520711102"/>
        <n v="58379989.204385102"/>
        <n v="55355119.2974222"/>
        <n v="57170041.241599999"/>
        <n v="78646617.581037"/>
        <n v="67454598.925274"/>
        <n v="78913064.626251802"/>
        <n v="73470784.3072"/>
        <n v="69972175.530666605"/>
        <n v="83966610.636800006"/>
        <n v="78524330.3177481"/>
        <n v="85910282.179318503"/>
        <n v="95239905.583407402"/>
        <n v="90186359.572859198"/>
        <n v="79690533.243259206"/>
        <n v="85132813.562311098"/>
        <n v="90610686.434417695"/>
        <n v="85481779.655111104"/>
        <n v="95739593.213724405"/>
        <n v="90040807.903383702"/>
        <n v="93460079.089588106"/>
        <n v="102578135.586133"/>
        <n v="83772144.062008798"/>
        <n v="82062508.468906596"/>
        <n v="104287771.179235"/>
        <n v="88331172.310281396"/>
        <n v="86866906.608071104"/>
        <n v="87505633.862542197"/>
        <n v="95170360.916195497"/>
        <n v="84311997.590186596"/>
        <n v="98363997.188551098"/>
        <n v="91337997.389368802"/>
        <n v="81757088.572302207"/>
        <n v="70898725.246293306"/>
        <n v="81118361.317831099"/>
        <n v="78563452.299946606"/>
        <n v="58124180.156871103"/>
        <n v="72176179.755235493"/>
        <n v="107306178.751146"/>
        <n v="104751269.733262"/>
        <n v="119540174.368616"/>
        <n v="103640742.309736"/>
        <n v="114829231.536355"/>
        <n v="124251117.200877"/>
        <n v="110707156.558127"/>
        <n v="123662249.346844"/>
        <n v="131317531.449268"/>
        <n v="113062627.97425701"/>
        <n v="108351685.14199699"/>
        <n v="123094110.675247"/>
        <n v="117311165.87842301"/>
        <n v="111528221.0816"/>
        <n v="121441840.73329701"/>
        <n v="125572515.58817101"/>
        <n v="103266871.371851"/>
        <n v="119789570.791348"/>
        <n v="122267975.704272"/>
        <n v="129703190.44304501"/>
        <n v="132181595.35597"/>
        <n v="138790675.123768"/>
        <n v="116641916.5184"/>
        <n v="148610441.786405"/>
        <n v="139106285.62564701"/>
        <n v="158978612.14359701"/>
        <n v="122690015.893428"/>
        <n v="126146072.679158"/>
        <n v="129602129.46488801"/>
        <n v="159842626.340029"/>
        <n v="133058186.25061899"/>
        <n v="134786214.643484"/>
        <n v="161570654.732894"/>
        <n v="146018399.197108"/>
        <n v="144694167.324444"/>
        <n v="153375817.363911"/>
        <n v="171703745.225007"/>
        <n v="146623422.88877001"/>
        <n v="163022095.18553999"/>
        <n v="175562256.353659"/>
        <n v="203536462.036385"/>
        <n v="161092839.621214"/>
        <n v="204501089.81854799"/>
        <n v="160128211.83905101"/>
        <n v="172668373.00716999"/>
        <n v="197432736.86964101"/>
        <n v="182245603.26428401"/>
        <n v="176404398.031454"/>
        <n v="232479968.266619"/>
        <n v="231311727.22005299"/>
        <n v="209115147.3353"/>
        <n v="769870849.68694496"/>
        <n v="1561256005.80797"/>
        <n v="1304054871.9031899"/>
        <n v="1407837785.58407"/>
        <n v="1139355900.19223"/>
        <n v="1561247405.93133"/>
        <n v="1552222854.4519501"/>
        <n v="1570271957.4107001"/>
        <n v="1633443817.7663"/>
        <n v="1868082156.22997"/>
        <n v="1588321060.3694401"/>
        <n v="1750762986.9981301"/>
        <n v="1705640229.60128"/>
        <n v="2084671391.73489"/>
        <n v="2192966009.48736"/>
        <n v="2015222416.7920799"/>
        <n v="1930243158.25265"/>
        <n v="2185180933.8709302"/>
        <n v="2209460722.0250502"/>
        <n v="2464398497.6433301"/>
        <n v="2901434684.41751"/>
        <n v="2937854366.6486902"/>
        <n v="2755755955.4927802"/>
        <n v="2949994260.72576"/>
        <n v="2646496908.7992401"/>
        <n v="2573384684.6668701"/>
        <n v="2713432830.7712002"/>
        <n v="3483697634.3449502"/>
        <n v="3326143469.9776001"/>
        <n v="3343649488.2406402"/>
        <n v="4078902255.2883101"/>
        <n v="3798805963.07968"/>
        <n v="3763793926.5535998"/>
        <n v="4919191131.9142399"/>
        <n v="3623745780.4492798"/>
        <n v="3739742258.8267999"/>
        <n v="3281814635.2969899"/>
        <n v="3383576329.4147301"/>
        <n v="3434457176.4735999"/>
        <n v="4910001741.1807699"/>
        <n v="4401193270.5920897"/>
        <n v="5393369788.2400198"/>
        <n v="5418810211.7694502"/>
        <n v="5469691058.8283195"/>
        <n v="5495131482.3577604"/>
        <n v="5342488941.1811504"/>
        <n v="5299073830.96661"/>
        <n v="5268085095.1129999"/>
        <n v="5020175208.2841597"/>
        <n v="4617321642.1872797"/>
        <n v="5701927397.0634899"/>
        <n v="4865231529.0161304"/>
        <n v="4834242793.1625204"/>
        <n v="5082152679.9913702"/>
        <n v="5608961189.5026703"/>
        <n v="5113141415.8449697"/>
        <n v="4896220264.86973"/>
        <n v="4958197736.5769396"/>
        <n v="5847221418.2115498"/>
        <n v="4784090251.2639999"/>
        <n v="6272473884.9905701"/>
        <n v="5670032890.38696"/>
        <n v="6059847651.6010599"/>
        <n v="7193854229.6784496"/>
        <n v="5988972240.4712296"/>
        <n v="7760857518.7171497"/>
        <n v="7371042757.5030499"/>
        <n v="8398736218.8856802"/>
        <n v="9535755935.2464104"/>
        <n v="9262002176.3398094"/>
        <n v="7847607755.3224001"/>
        <n v="7938859008.2912703"/>
        <n v="10676396597.357201"/>
        <n v="10402642838.4506"/>
        <n v="9444504682.2775402"/>
        <n v="9353253429.3086796"/>
        <n v="10448268464.934999"/>
        <n v="9672632814.6996994"/>
        <n v="10750436365.410601"/>
        <n v="9570510422.8655396"/>
        <n v="10094921952.8855"/>
        <n v="6555144125.25037"/>
        <n v="7997275832.8054504"/>
        <n v="10029370511.632999"/>
        <n v="8259481597.8154602"/>
        <n v="11209296454.178101"/>
        <n v="10488230600.400499"/>
        <n v="10357127717.8955"/>
        <n v="11668156542.945601"/>
        <n v="10422679159.148001"/>
        <n v="10617832232.762699"/>
        <n v="12056377244.943501"/>
        <n v="14042939404.6217"/>
        <n v="12124879388.380699"/>
        <n v="17673553006.792198"/>
        <n v="18495578728.038399"/>
        <n v="17057033715.857599"/>
        <n v="17536548719.917801"/>
        <n v="18084565867.415298"/>
        <n v="19870094129.161098"/>
        <n v="16451583311.2409"/>
        <n v="18694981035.500999"/>
        <n v="21899834927.301201"/>
        <n v="21686178001.181198"/>
        <n v="25745659597.461399"/>
        <n v="22754462631.7812"/>
        <n v="23395433410.141201"/>
        <n v="23822747262.381302"/>
        <n v="26920772691.121399"/>
        <n v="27510703301.0084"/>
        <n v="27203321141.2206"/>
        <n v="27049630061.326698"/>
        <n v="29201305179.8414"/>
        <n v="30891907058.674301"/>
        <n v="33658346496.7645"/>
        <n v="33504655416.870602"/>
        <n v="37039550254.430397"/>
        <n v="42265046970.823097"/>
        <n v="33350964336.9767"/>
        <n v="45777186236.516098"/>
        <n v="49385240324.123299"/>
        <n v="38110071300.3508"/>
        <n v="50287253846.025101"/>
        <n v="57728865401.714897"/>
        <n v="45100676095.089699"/>
        <n v="44424165953.663399"/>
        <n v="55699334977.435799"/>
        <n v="57954368782.1903"/>
        <n v="51203310121.4151"/>
        <n v="39597226493.894302"/>
        <n v="47789756113.320702"/>
        <n v="55640930331.937698"/>
        <n v="60419905943.269798"/>
        <n v="61785327546.5075"/>
        <n v="66222947757.030197"/>
        <n v="61443972145.698097"/>
        <n v="58713128939.222603"/>
        <n v="71343278769.171707"/>
        <n v="68953790963.5056"/>
        <n v="75495019295.296402"/>
        <n v="75896588546.867096"/>
        <n v="91959358609.696198"/>
        <n v="95975051125.403397"/>
        <n v="96778189628.544907"/>
        <n v="95573481873.832703"/>
        <n v="89549943100.271805"/>
        <n v="89530382854.826599"/>
        <n v="106583789112.888"/>
        <n v="104147588218.88"/>
        <n v="85876081513.813293"/>
        <n v="119373843806.435"/>
        <n v="105365688665.884"/>
        <n v="101102337101.368"/>
        <n v="98057085983.857697"/>
        <n v="112065241124.408"/>
        <n v="96838985536.853302"/>
        <n v="113041820945.53999"/>
        <n v="104401681764.989"/>
        <n v="106561716560.12601"/>
        <n v="120961948527.711"/>
        <n v="119521925330.953"/>
        <n v="121681960126.09"/>
        <n v="118801913732.573"/>
        <n v="116641878937.436"/>
        <n v="130322099306.64101"/>
        <n v="126002029716.366"/>
        <n v="126460822000.325"/>
        <n v="114301127577.217"/>
        <n v="124839529410.578"/>
        <n v="132945992359.317"/>
        <n v="137809870128.56"/>
        <n v="132135346064.44299"/>
        <n v="131324699769.569"/>
        <n v="139431162718.30801"/>
        <n v="135377931243.938"/>
        <n v="152401503436.29001"/>
        <n v="146726979372.173"/>
        <n v="127271468295.19901"/>
        <n v="159478004296.07101"/>
        <n v="165893786078.09698"/>
        <n v="129232175895.092"/>
        <n v="154895303023.19501"/>
        <n v="170476487350.97198"/>
        <n v="151229142004.89499"/>
        <n v="155811843277.76999"/>
        <n v="172309567860.12299"/>
        <n v="142980279713.71899"/>
        <n v="164977245823.522"/>
        <n v="175078623152.021"/>
        <n v="172890140362.621"/>
        <n v="176172864546.72198"/>
        <n v="170701657573.22101"/>
        <n v="186021037099.02301"/>
        <n v="179455588730.82199"/>
        <n v="212282830571.82599"/>
        <n v="195869209651.32401"/>
        <n v="193680726861.92401"/>
        <n v="222131003124.12701"/>
        <n v="217116752932.59"/>
        <n v="248133431922.961"/>
        <n v="240379262175.36801"/>
        <n v="253302878421.35599"/>
        <n v="255887601670.55301"/>
        <n v="290781365534.71997"/>
        <n v="299827896906.91101"/>
        <n v="298535535282.31201"/>
        <n v="384235332448.39502"/>
        <n v="291801360963.16803"/>
        <n v="358861301060.29401"/>
        <n v="351611577806.54999"/>
        <n v="382422901634.95898"/>
        <n v="440420687664.90601"/>
        <n v="375173178381.216"/>
        <n v="407796933023.06097"/>
        <n v="500230904508.28802"/>
        <n v="442233118478.34198"/>
        <n v="414505489254.172"/>
        <n v="359238090686.94897"/>
        <n v="464246147964.67297"/>
        <n v="513986806675.17297"/>
        <n v="610704754167.81396"/>
        <n v="765453470156.03796"/>
        <n v="757163360370.95496"/>
        <n v="583071054884.20203"/>
        <n v="516750176603.534"/>
        <n v="442139188537.78302"/>
        <n v="416631119770.53998"/>
        <n v="492382232456.09302"/>
        <n v="530257788798.86902"/>
        <n v="443144009210.48401"/>
        <n v="424206231039.09497"/>
        <n v="515107566261.75897"/>
        <n v="534045344433.14697"/>
        <n v="454506676113.31702"/>
        <n v="435568897941.92798"/>
        <n v="518895121896.03601"/>
        <n v="560558233873.09094"/>
        <n v="450719120479.039"/>
        <n v="594646234581.58899"/>
        <n v="575708456410.20105"/>
        <n v="593200442309.19897"/>
        <n v="473188792131.03699"/>
        <n v="490333313585.06097"/>
        <n v="576055920855.17603"/>
        <n v="558911399401.15295"/>
        <n v="534909069365.521"/>
        <n v="689209762451.729"/>
        <n v="603487155181.61304"/>
        <n v="617202772344.83203"/>
        <n v="600058250890.80896"/>
        <n v="610344963763.22205"/>
        <n v="665207432416.09595"/>
        <n v="605826776577.69299"/>
        <n v="601733352411.62695"/>
        <n v="679508411566.87195"/>
        <n v="638574169906.21704"/>
        <n v="708162380729.32996"/>
        <n v="667228139068.67505"/>
        <n v="794124288216.70496"/>
        <n v="654947866570.47803"/>
        <n v="556705686584.90698"/>
        <n v="736816349891.78796"/>
        <n v="679412299942"/>
        <n v="706956041831.54004"/>
        <n v="661049805348.97302"/>
        <n v="674821676293.74304"/>
        <n v="807949762093.18896"/>
        <n v="789587267500.16199"/>
        <n v="743681031017.59399"/>
        <n v="881399740465.297"/>
        <n v="895171611410.06702"/>
        <n v="840084127630.98596"/>
        <n v="752862278314.10803"/>
        <n v="918124729651.35095"/>
        <n v="1030377325650.24"/>
        <n v="975860006832.77405"/>
        <n v="1073991180704.22"/>
        <n v="1068539448822.47"/>
        <n v="1193929282102.6599"/>
        <n v="1188477550220.9199"/>
        <n v="1166670622693.9299"/>
        <n v="1302963919737.6101"/>
        <n v="1432013757120.9399"/>
        <n v="1494615451421.3101"/>
        <n v="1322460792095.3"/>
        <n v="1619818840022.05"/>
        <n v="1893701252586.1699"/>
        <n v="1721546593260.1499"/>
        <n v="1932827311523.8999"/>
        <n v="2011079429399.3601"/>
        <n v="2253660994813.29"/>
        <n v="2075067489333.1899"/>
        <n v="2669677471656.7402"/>
        <n v="3057994194806.8101"/>
        <n v="3470580713153.7598"/>
        <n v="3628334381933.4702"/>
        <n v="3725413562720.9902"/>
        <n v="3591929689138.1499"/>
        <n v="3610181820470.27"/>
        <n v="3350767557921.5098"/>
        <n v="3891213938231.4302"/>
        <n v="3329149702709.1099"/>
        <n v="3242678281859.52"/>
        <n v="4064156779930.6001"/>
        <n v="4107392490355.3999"/>
        <n v="4366806752904.1602"/>
        <n v="4842399567576.8896"/>
        <n v="4496513884178.54"/>
        <n v="5036960264488.46"/>
        <n v="4793850619125.4502"/>
        <n v="5216837438460.0498"/>
        <n v="6260204926152.0596"/>
        <n v="6288404047441.04"/>
        <n v="7106178564821.2598"/>
        <n v="6570395260330.7695"/>
        <n v="6401200532596.9297"/>
        <n v="6965182958376.3896"/>
        <n v="7867554839623.54"/>
        <n v="7846855982937.9697"/>
        <n v="8108417849035.9004"/>
        <n v="8587947936882.1104"/>
        <n v="9721382689973.1504"/>
        <n v="10200912777819.301"/>
        <n v="11029192020462.801"/>
        <n v="11334347530910.4"/>
        <n v="10462474643917.301"/>
        <n v="9416227179525.5703"/>
        <n v="9804082932584.7695"/>
        <n v="10215443055630.199"/>
        <n v="11586643465782"/>
        <n v="10969603281213.699"/>
        <n v="11792323527304.699"/>
        <n v="13094963916948.801"/>
        <n v="11860883547812.301"/>
        <n v="11312403383751.6"/>
        <n v="11655203486289.5"/>
        <n v="9529842850554.4199"/>
        <n v="10763923219690.9"/>
        <n v="10178509148696.301"/>
        <n v="12820259614770.199"/>
        <n v="11577082924853.1"/>
        <n v="10644700407415.199"/>
        <n v="12198671269811.6"/>
        <n v="10955494579894.5"/>
        <n v="14840421735885.5"/>
        <n v="11188590209254"/>
        <n v="12587163985410.699"/>
        <n v="13208752330369.301"/>
        <n v="11033193123014.301"/>
        <n v="12524178056128.1"/>
        <n v="12776342714976.301"/>
        <n v="12692287828693.6"/>
        <n v="12272013397279.9"/>
        <n v="13953111122934.6"/>
        <n v="13869056236651.9"/>
        <n v="14793659985762"/>
        <n v="14625550213196.6"/>
        <n v="13028507373824.5"/>
        <n v="13785001350369.199"/>
        <n v="14709605099479.301"/>
        <n v="15492195902437.6"/>
        <n v="14459382842275"/>
        <n v="14741059131410.301"/>
        <n v="12112080432814.801"/>
        <n v="13144893492977.301"/>
        <n v="11454835758165.9"/>
        <n v="11830404143679.6"/>
        <n v="12769325107463.699"/>
        <n v="13708246071247.801"/>
        <n v="14271598649518.199"/>
        <n v="12863217203842.1"/>
        <n v="12299864625571.6"/>
        <n v="12205972529193.199"/>
        <n v="12393756721950"/>
        <n v="13194995687917.1"/>
        <n v="12207615058209"/>
        <n v="12925710061633"/>
        <n v="11758805681069"/>
        <n v="13643805065057.1"/>
        <n v="14361900068481.199"/>
        <n v="15169756947333.199"/>
        <n v="13913090691341.1"/>
        <n v="12028091307353"/>
        <n v="12117853182781"/>
        <n v="10950948802216.9"/>
        <n v="10412377549648.801"/>
        <n v="12387138809065"/>
        <n v="12902552730770.6"/>
        <n v="13697915570338.699"/>
        <n v="11400200700475.4"/>
        <n v="13786289219179.6"/>
        <n v="12814179081929.699"/>
        <n v="11842068944679.9"/>
        <n v="13344420974975.1"/>
        <n v="12018816242361.699"/>
        <n v="13609541921497.801"/>
        <n v="11753695295839"/>
        <n v="11046706105111.801"/>
        <n v="12391298568006.801"/>
        <n v="12740349231894.301"/>
        <n v="13612975891613.1"/>
        <n v="10384257250653.5"/>
        <n v="11693197240231.699"/>
        <n v="13787501223556.801"/>
        <n v="11082358578428.6"/>
        <n v="12216773236063"/>
        <n v="12914874563838"/>
        <n v="11605934574259.801"/>
        <n v="11256883910372.301"/>
        <n v="11954985238147.4"/>
        <n v="12344658508772.5"/>
        <n v="10497158595894.9"/>
        <n v="10245226789593.5"/>
        <n v="12008749433703.801"/>
        <n v="10161249520826.301"/>
        <n v="12176703971238.1"/>
        <n v="9405454101921.9102"/>
        <n v="10749090402196.4"/>
        <n v="11588863089868"/>
        <n v="9993294983292.0293"/>
        <n v="10665113133429.301"/>
        <n v="10329204058360.6"/>
        <n v="7809885995345.8701"/>
        <n v="10077272252059.1"/>
        <n v="8145795070414.5098"/>
        <n v="10144830285777.1"/>
        <n v="9779908333051.3301"/>
        <n v="8685142474873.9404"/>
        <n v="8612158084328.7803"/>
        <n v="8758126865419.0996"/>
        <n v="9706923942506.1699"/>
        <n v="8393204912693.2998"/>
        <n v="8831111255964.2598"/>
        <n v="7152470273425.5996"/>
        <n v="7882314178877.1904"/>
        <n v="9269017599235.2109"/>
        <n v="9414986380325.5293"/>
        <n v="8539173693783.6201"/>
        <n v="7298439054515.9199"/>
        <n v="7663361007241.71"/>
        <n v="8247236131602.9805"/>
        <n v="8101267350512.6699"/>
        <n v="7836998604789.3896"/>
        <n v="8973662524568"/>
        <n v="9212960191889.8203"/>
        <n v="7478052103806.6699"/>
        <n v="8794189274076.6396"/>
        <n v="8734364857246.1904"/>
        <n v="8614716023585.2803"/>
        <n v="7896823021619.8398"/>
        <n v="8913838107737.5508"/>
        <n v="9631731109702.9902"/>
        <n v="8435242773093.9199"/>
        <n v="7119105602823.9502"/>
        <n v="8554891606754.8301"/>
        <n v="8476952009987.4102"/>
        <n v="9781098473062.4004"/>
        <n v="8002716932505.5996"/>
        <n v="8239834471246.5"/>
        <n v="7884158163135.1396"/>
        <n v="7291364316282.8799"/>
        <n v="6994967392856.7402"/>
        <n v="8299113855931.7305"/>
        <n v="7943437547820.3701"/>
        <n v="6698570469430.6104"/>
        <n v="7113526162227.2002"/>
        <n v="6757849854115.8398"/>
        <n v="7528481855023.7803"/>
        <n v="8180555086561.2803"/>
        <n v="8783602827814.5"/>
        <n v="9867998238655.7891"/>
        <n v="7916086499141.46"/>
        <n v="8241405122393.8496"/>
        <n v="7373888793720.8096"/>
        <n v="8566723745646.2402"/>
        <n v="9271580762693.0801"/>
        <n v="7482328334804.9404"/>
        <n v="8892042368898.6309"/>
        <n v="7970306269683.5195"/>
        <n v="7807646958057.3301"/>
        <n v="6885910858842.2305"/>
        <n v="7579079246072.1602"/>
        <n v="8784841853401.8203"/>
        <n v="6430733905758.1904"/>
        <n v="6775237507852.3799"/>
        <n v="8612590052354.7305"/>
        <n v="8268086450260.54"/>
        <n v="9129345455496.0098"/>
        <n v="7693913780103.5596"/>
        <n v="8555172785339.0303"/>
        <n v="8497755518323.3301"/>
        <n v="8153251916229.1396"/>
        <n v="8325503717276.2402"/>
        <n v="9990604460731.4805"/>
        <n v="10162856261778.5"/>
        <n v="8360759166848.4404"/>
        <n v="8937363247320.75"/>
        <n v="7957136310517.8301"/>
        <n v="8187777942706.75"/>
        <n v="8706721615131.8301"/>
        <n v="8822042431226.2891"/>
        <n v="9168004879509.6699"/>
        <n v="8591400799037.3701"/>
        <n v="8476079982942.9004"/>
        <n v="9859929776076.4395"/>
        <n v="10609515080690.4"/>
        <n v="9398646511698.5996"/>
        <n v="10196782729313.801"/>
        <n v="8766746127032.0596"/>
        <n v="9512852180396.4902"/>
        <n v="9637203189290.5605"/>
        <n v="8704570622585.0303"/>
        <n v="9326325667055.3809"/>
        <n v="8642395118137.9902"/>
        <n v="10880713278231.199"/>
        <n v="9761554198184.6406"/>
        <n v="7958464569220.5898"/>
        <n v="9015448144820.1992"/>
        <n v="8841024002156.8105"/>
        <n v="11051280002696"/>
        <n v="9036046590439.6797"/>
        <n v="9621114355288.2891"/>
        <n v="8971039061012.0605"/>
        <n v="9166061649294.9297"/>
        <n v="9426091767005.4199"/>
        <n v="10856257414413.1"/>
        <n v="11181295061551.199"/>
        <n v="9751129414143.5391"/>
        <n v="10336197178992.1"/>
        <n v="10271189649564.5"/>
        <n v="10767475451283.301"/>
        <n v="9738735758485.5508"/>
        <n v="10013066343231.6"/>
        <n v="9395822527552.9609"/>
        <n v="9944483697045.1094"/>
        <n v="9464405173739.4805"/>
        <n v="10287396927977.699"/>
        <n v="10836058097469.801"/>
        <n v="9190074588993.4102"/>
        <n v="10424562220350.699"/>
        <n v="11699197018639.699"/>
        <n v="10809784379795.801"/>
        <n v="9578289956781.1094"/>
        <n v="8825710031605.4492"/>
        <n v="10878200736629.9"/>
        <n v="11357115234469"/>
        <n v="10194037168288.4"/>
        <n v="11288698877634.801"/>
        <n v="10262453525122.6"/>
        <n v="10536118952459.199"/>
        <n v="10946617093464.1"/>
        <n v="12246527873312.9"/>
        <n v="10330869881956.699"/>
        <n v="9971638084689.3691"/>
        <n v="8408918683357.4502"/>
        <n v="10194883713451"/>
        <n v="10790205390148.9"/>
        <n v="11459942276434"/>
        <n v="11608772695608.5"/>
        <n v="12501755210655.301"/>
        <n v="12278509581893.6"/>
        <n v="12352924791480.801"/>
        <n v="11906433533957.4"/>
        <n v="9004240360055.3301"/>
        <n v="11395534365700.4"/>
        <n v="12661704850778.301"/>
        <n v="11916898683085.4"/>
        <n v="10650728198007.6"/>
        <n v="11767937449546.801"/>
        <n v="9384557712929.8008"/>
        <n v="13704433485548.199"/>
        <n v="11693456832777.6"/>
        <n v="11246573132161.9"/>
        <n v="11618976216008.301"/>
        <n v="11172092515392.6"/>
        <n v="11400754107160.6"/>
        <n v="12451887464558.4"/>
        <n v="13745590058278.801"/>
        <n v="11481610519268.199"/>
        <n v="9379343804472.6191"/>
        <n v="10753902810300.5"/>
        <n v="11077328458730.6"/>
        <n v="9460200216580.1504"/>
        <n v="10996472046623"/>
        <n v="10430477161870.4"/>
        <n v="12128461816128.301"/>
        <n v="11805036167698.301"/>
        <n v="11885892579805.801"/>
        <n v="10268764337655.301"/>
        <n v="9647936095478.5195"/>
        <n v="10902952172939.1"/>
        <n v="8392920018017.9004"/>
        <n v="11765775726193.301"/>
        <n v="10589198153573.9"/>
        <n v="10197005629367.5"/>
        <n v="12314845260082.301"/>
        <n v="12079529745558.4"/>
        <n v="10981390677780.4"/>
        <n v="10824513668097.801"/>
        <n v="9961690114843.6797"/>
        <n v="12157968250399.699"/>
        <n v="10123973913005.199"/>
        <n v="11398844702050.301"/>
        <n v="13423639484651.4"/>
        <n v="12748707890451"/>
        <n v="11248859903339.1"/>
        <n v="11773806698828.301"/>
        <n v="12073776296250.699"/>
        <n v="12523730692384.199"/>
        <n v="12298753494317.5"/>
        <n v="13198662286584.6"/>
        <n v="12448738293028.6"/>
        <n v="11114409457010.1"/>
        <n v="12320624436840.699"/>
        <n v="11028251244165.1"/>
        <n v="12062149798305.6"/>
        <n v="11975991585460.5"/>
        <n v="11200567669855.199"/>
        <n v="10425143754249.801"/>
        <n v="9994352690024.6406"/>
        <n v="12492940862530.801"/>
        <n v="12837573713910.9"/>
        <n v="11889833372615.5"/>
        <n v="10855934818475"/>
        <n v="9908194477179.5996"/>
        <n v="10769776605630"/>
        <n v="9570224608798.6992"/>
        <n v="11231172681400.1"/>
        <n v="12575749692553.6"/>
        <n v="9965688435608.5605"/>
        <n v="10361152262418.4"/>
        <n v="10914801619952.199"/>
        <n v="12022100335019.801"/>
        <n v="12654842457915.6"/>
        <n v="12101193100381.801"/>
        <n v="12259378631105.699"/>
        <n v="11626636508209.9"/>
        <n v="10993894385314.199"/>
        <n v="11096727868089.699"/>
        <n v="13457733797470.5"/>
        <n v="13064232809240.4"/>
        <n v="11018027670443.699"/>
        <n v="12277230832780.1"/>
        <n v="11805029646903.9"/>
        <n v="12513331425718.199"/>
        <n v="12906832413948.301"/>
        <n v="13772534588054.6"/>
        <n v="11568929053965.801"/>
        <n v="11411528658673.801"/>
        <n v="11672620128669.199"/>
        <n v="11844276307032"/>
        <n v="14075806625748.199"/>
        <n v="11243479682762.301"/>
        <n v="13217525733934.301"/>
        <n v="12788385288027.301"/>
        <n v="13989978536566.801"/>
        <n v="11758448217850.6"/>
        <n v="12530901020483.199"/>
        <n v="11329307771943.699"/>
        <n v="12187588663757.6"/>
        <n v="13045869555571.5"/>
        <n v="13732494269022.6"/>
        <n v="13059791576833.1"/>
        <n v="12537399913759.801"/>
        <n v="13495117962727.5"/>
        <n v="14452836011695.301"/>
        <n v="13320987408369.699"/>
        <n v="14191640180158.6"/>
        <n v="11666747141970.9"/>
        <n v="14017509625800.9"/>
        <n v="12189138805044.199"/>
        <n v="14975227674768.6"/>
        <n v="14380716325921.6"/>
        <n v="12525140025802.699"/>
        <n v="13731264620880"/>
        <n v="13081812915838.4"/>
        <n v="14937389215957.301"/>
        <n v="14844610400951.4"/>
        <n v="15679619736004.9"/>
        <n v="16514629071058.4"/>
        <n v="14195158695909.699"/>
        <n v="15401283290987"/>
        <n v="17818850540666.801"/>
        <n v="13161650967537.9"/>
        <n v="13566624843462.199"/>
        <n v="16705172381875.1"/>
        <n v="16401441974931.9"/>
        <n v="15793981161045.5"/>
        <n v="14072842188367.5"/>
        <n v="14174085657348.5"/>
        <n v="16603928912894"/>
        <n v="16806415850856.1"/>
        <n v="17211389726780.4"/>
        <n v="17008902788818.301"/>
        <n v="17316457556481.699"/>
        <n v="17425366094572.801"/>
        <n v="17098640480299.5"/>
        <n v="18187725861210.301"/>
        <n v="16771914866026.301"/>
        <n v="15029378256569"/>
        <n v="16445189251753"/>
        <n v="19821353932576.5"/>
        <n v="18950085627847.898"/>
        <n v="18841177089756.801"/>
        <n v="16989731942208.4"/>
        <n v="17969908785028.199"/>
        <n v="16118463637479.801"/>
        <n v="16742850284767.4"/>
        <n v="21717175369372.199"/>
        <n v="17592125299212.1"/>
        <n v="18320075311593.301"/>
        <n v="20382600346673.398"/>
        <n v="18684050317783.898"/>
        <n v="16985500288894.5"/>
        <n v="19533325332228.602"/>
        <n v="19897300338419.199"/>
        <n v="19048025323974.5"/>
        <n v="18562725315720.398"/>
        <n v="21838500371435.699"/>
        <n v="20746575352864"/>
        <n v="22498870823315.301"/>
        <n v="19418668270123.301"/>
        <n v="21293574172066.301"/>
        <n v="20088277520817.199"/>
        <n v="20757886771511.102"/>
        <n v="17409840518041.6"/>
        <n v="21695339722482.602"/>
        <n v="19284746419984.5"/>
        <n v="21561417872343.801"/>
        <n v="22364948973176.5"/>
        <n v="18882980869568.199"/>
        <n v="21641333930293.301"/>
        <n v="24061746277760.301"/>
        <n v="22353219914842.398"/>
        <n v="22495597111752.199"/>
        <n v="21783711127203.102"/>
        <n v="19790430370465.5"/>
        <n v="19932807567375.398"/>
        <n v="22922728702481.699"/>
        <n v="23919369080850.398"/>
        <n v="22637974308662"/>
        <n v="18651412795186.898"/>
        <n v="20787070748834.301"/>
        <n v="20195565612039.398"/>
        <n v="19891872896068.898"/>
        <n v="20651104685995.102"/>
        <n v="23536185487715.102"/>
        <n v="18980794748157.301"/>
        <n v="27028651721376"/>
        <n v="21562182833906.699"/>
        <n v="22625107339803.5"/>
        <n v="20954797401965.699"/>
        <n v="22473260981818.199"/>
        <n v="19284487464127.801"/>
        <n v="25662034499508.699"/>
        <n v="21687083719510"/>
        <n v="23977972844810.398"/>
        <n v="20618002127703.199"/>
        <n v="24130698786497.102"/>
        <n v="24588876611557.199"/>
        <n v="19854372419269.699"/>
        <n v="24741602553243.801"/>
        <n v="21839809661196.699"/>
        <n v="25199780378303.898"/>
        <n v="26727039795170.801"/>
        <n v="25352506319990.602"/>
        <n v="23489243956524.102"/>
        <n v="23653504403772.5"/>
        <n v="22503681273033.5"/>
        <n v="23982025298269.301"/>
        <n v="25788890218002"/>
        <n v="26281671559747.199"/>
        <n v="22175160378536.699"/>
        <n v="25296108876256.699"/>
        <n v="24967587981759.898"/>
        <n v="24146285745517.801"/>
        <n v="21682379036791.398"/>
        <n v="23444725205796.5"/>
        <n v="23947112174492.102"/>
        <n v="22774875914202.301"/>
        <n v="24282036820289.199"/>
        <n v="24449499143187.699"/>
        <n v="24616961466086.301"/>
        <n v="25454273080579"/>
        <n v="24114574497390.699"/>
        <n v="27296358632463"/>
        <n v="25286810757680.5"/>
        <n v="26839007386435.801"/>
        <n v="25300465561735.602"/>
        <n v="29403243760936"/>
        <n v="28377549211135.898"/>
        <n v="21368636454168.602"/>
        <n v="28548498302769.301"/>
        <n v="24445720103568.898"/>
        <n v="25129516470102.301"/>
        <n v="19146298262935.102"/>
        <n v="20855789179268.602"/>
        <n v="23420025553768.801"/>
        <n v="22052432820702"/>
        <n v="23590974645402.102"/>
        <n v="21539585545802"/>
        <n v="24124701013799"/>
        <n v="21779243970790.801"/>
        <n v="21946776616719.898"/>
        <n v="17758460468490.898"/>
        <n v="19433786927782.5"/>
        <n v="18596123698136.699"/>
        <n v="22449374554507.398"/>
        <n v="20941580741145"/>
        <n v="23789635721940.699"/>
        <n v="21109113387074.102"/>
        <n v="25632494827161.5"/>
        <n v="20438982803357.5"/>
        <n v="22114309262649.102"/>
        <n v="20774048095215.801"/>
        <n v="22810255102925.602"/>
        <n v="23106492182184.398"/>
        <n v="25032033197366.398"/>
        <n v="21329069706631.699"/>
        <n v="24587677578478.301"/>
        <n v="23402729261443.199"/>
        <n v="23995203419960.699"/>
        <n v="22662136563296.199"/>
        <n v="20884714087743.602"/>
        <n v="21477188246261.102"/>
        <n v="24883914657737"/>
        <n v="21484286137400.199"/>
        <n v="20999678179413.801"/>
        <n v="23745789941337.102"/>
        <n v="18899710361472.398"/>
        <n v="19707390291449.801"/>
        <n v="25361149801292"/>
        <n v="19545854305454.301"/>
        <n v="21161214165409.199"/>
        <n v="17930494445499.398"/>
        <n v="24876541843305.5"/>
        <n v="21322750151404.699"/>
        <n v="23261181983350.602"/>
        <n v="20353534235431.801"/>
        <n v="23022265066868"/>
        <n v="20218271244621.301"/>
        <n v="22284371955750.398"/>
        <n v="21694057466856.398"/>
        <n v="23317422311315"/>
        <n v="22579529200197.5"/>
        <n v="28482674089138"/>
        <n v="27449623733573.398"/>
        <n v="24202894044656.102"/>
        <n v="27191646039606.199"/>
        <n v="23772337256182.699"/>
        <n v="25074931078439.301"/>
        <n v="24586458395093"/>
        <n v="23283864572836.5"/>
        <n v="26214700672913.801"/>
        <n v="25889052217349.602"/>
        <n v="22632567661708.199"/>
        <n v="27842942950734.5"/>
        <n v="29145536772991.102"/>
        <n v="30773779050811.801"/>
        <n v="30610954823029.801"/>
        <n v="29220336388265.699"/>
        <n v="28857350843069.801"/>
        <n v="35028105111399.301"/>
        <n v="31942727977234.5"/>
        <n v="30853771341647"/>
        <n v="29764814706059.5"/>
        <n v="28312872525276.102"/>
        <n v="37024525609976.398"/>
        <n v="30127800251255.301"/>
        <n v="30490785796451.199"/>
        <n v="27586901434884.398"/>
        <n v="31483602589182.199"/>
        <n v="34957655288678.199"/>
        <n v="38865964575611.203"/>
        <n v="30180832826871.199"/>
        <n v="33654885526367.199"/>
        <n v="34740526994959.699"/>
        <n v="36694681638426.203"/>
        <n v="39734477750485.203"/>
        <n v="35609040169833.703"/>
        <n v="29312319651997.199"/>
        <n v="34089142113804.199"/>
        <n v="43135034612145.398"/>
        <n v="41448189683178.898"/>
        <n v="42171123224164.5"/>
        <n v="50364370022002.203"/>
        <n v="45785790929092.898"/>
        <n v="40966233989188.398"/>
        <n v="50846325715992.703"/>
        <n v="52533170644959.297"/>
        <n v="55183926961906.703"/>
        <n v="52292192797964"/>
        <n v="45544813082097.703"/>
        <n v="47930591508637"/>
        <n v="50260550818084.703"/>
        <n v="43603524219662.797"/>
        <n v="60911793375559.602"/>
        <n v="57916131406269.703"/>
        <n v="57583280076348.602"/>
        <n v="56251874756664.297"/>
        <n v="65904563324375.898"/>
        <n v="60246090715717.398"/>
        <n v="58248982736190.797"/>
        <n v="51259104807847.898"/>
        <n v="52590510127532.297"/>
        <n v="62172583867286.203"/>
        <n v="62554010762177.5"/>
        <n v="59121168708155.602"/>
        <n v="67131133500873.398"/>
        <n v="72852536924243.297"/>
        <n v="61028303182612.203"/>
        <n v="65986852816199.398"/>
        <n v="63698291446851.5"/>
        <n v="58358314918372.898"/>
        <n v="67512560395764.797"/>
        <n v="65223999026416.797"/>
        <n v="65578857172338.797"/>
        <n v="61117710425921.203"/>
        <n v="68701659894831.102"/>
        <n v="78516182736949.797"/>
        <n v="68255545220189.297"/>
        <n v="74947265339815.797"/>
        <n v="72270577291965.203"/>
        <n v="76731724038382.797"/>
        <n v="76285609363741.094"/>
        <n v="78962297411591.594"/>
        <n v="77623953387666.297"/>
        <n v="74633390176076.094"/>
        <n v="75635180648238.203"/>
        <n v="67119961634860.398"/>
        <n v="68622647343103.5"/>
        <n v="79642342536886.594"/>
        <n v="82647713953372.906"/>
        <n v="83148609189453.906"/>
        <n v="84150399661616"/>
        <n v="82146818717291.797"/>
        <n v="86153980605940.203"/>
        <n v="91162932966750.703"/>
        <n v="96765155755616.797"/>
        <n v="85642724059568.906"/>
        <n v="78413143457137.797"/>
        <n v="82305994550754.5"/>
        <n v="89535575153185.703"/>
        <n v="82862116135556.906"/>
        <n v="86754967229173.703"/>
        <n v="71739684439509"/>
        <n v="83974359305161.703"/>
        <n v="93984547831604.797"/>
        <n v="91760061492395.297"/>
        <n v="98476347802911.703"/>
        <n v="106330289652223"/>
        <n v="95455600937791.703"/>
        <n v="101497094668031"/>
        <n v="108142737771295"/>
        <n v="105726140279199"/>
        <n v="128683816454111"/>
        <n v="120225725231775"/>
        <n v="111163484636415"/>
        <n v="140412597704738"/>
        <n v="124897393538468"/>
        <n v="123345873121841"/>
        <n v="134982276246543"/>
        <n v="139636837496424"/>
        <n v="157479322287634"/>
        <n v="144291398746305"/>
        <n v="134206516038230"/>
        <n v="143515638537991"/>
        <n v="139397162755033"/>
        <n v="134590364039343"/>
        <n v="130744925066790"/>
        <n v="148049400443277"/>
        <n v="161508436847211"/>
        <n v="169199314792317"/>
        <n v="158624357617797"/>
        <n v="144203961470724"/>
        <n v="150933479672691"/>
        <n v="167276595306040"/>
        <n v="160547077104073"/>
        <n v="162469796590349"/>
        <n v="162269499322755"/>
        <n v="166511839174330"/>
        <n v="195147633172464"/>
        <n v="174996518877481"/>
        <n v="197268803098251"/>
        <n v="198329388061145"/>
        <n v="203632312875614"/>
        <n v="196208218135358"/>
        <n v="206814067764296"/>
        <n v="226298067180983"/>
        <n v="200286795091215"/>
        <n v="204188485904680"/>
        <n v="223696939972006"/>
        <n v="213292431136099"/>
        <n v="239303703225867"/>
        <n v="209390740322634"/>
        <n v="222396376367518"/>
        <n v="241904830434844"/>
        <n v="258812157293193"/>
        <n v="214592994740587"/>
        <n v="219084664328419"/>
        <n v="247052919349068"/>
        <n v="226853624056377"/>
        <n v="254821879077026"/>
        <n v="281236342152084"/>
        <n v="261037046859392"/>
        <n v="276574966315309"/>
        <n v="306097013281550"/>
        <n v="295220469662408"/>
        <n v="275021174369717"/>
        <n v="298328053553591"/>
        <n v="264144630750576"/>
        <n v="332726003140465"/>
        <n v="351314048008648"/>
        <n v="353172852495466"/>
        <n v="345737634548193"/>
        <n v="381054919797740"/>
        <n v="362466874929557"/>
        <n v="390348942231831"/>
        <n v="401501769152740"/>
        <n v="340161221087738"/>
        <n v="424333669880228"/>
        <n v="429385261188326"/>
        <n v="479901174269305"/>
        <n v="490004356885501"/>
        <n v="447065830766669"/>
        <n v="495055948193599"/>
        <n v="545571861274579"/>
        <n v="462220604690963"/>
        <n v="493536435943844"/>
        <n v="542563234216411"/>
        <n v="552368593870925"/>
        <n v="581784672834465"/>
        <n v="617737658234348"/>
        <n v="670032909725087"/>
        <n v="728865067652167"/>
        <n v="722328161215825"/>
        <n v="702717441906798"/>
        <n v="634079924325204"/>
        <n v="704398591757548"/>
        <n v="773542011807369"/>
        <n v="799470794326051"/>
        <n v="626612244201500"/>
        <n v="678469809238865"/>
        <n v="877257141882100"/>
        <n v="825399576844734"/>
        <n v="864292750622758"/>
        <n v="920471779413238"/>
        <n v="881578605635214"/>
        <n v="942079098178807"/>
        <n v="1013381989514710"/>
        <n v="862214510415831"/>
        <n v="1002184398470340"/>
        <n v="923801261159819"/>
        <n v="1063771149214330"/>
        <n v="1119759104436140"/>
        <n v="1058172353692150"/>
        <n v="1136555491002680"/>
        <n v="1175747059657950"/>
        <n v="1186944650702310"/>
        <n v="1153351877569220"/>
        <n v="1198450492836300"/>
        <n v="1316815973610260"/>
        <n v="1309418131061890"/>
        <n v="1257633233223280"/>
        <n v="1205848335384680"/>
        <n v="1383396556545610"/>
        <n v="1412987926739100"/>
        <n v="1472170667126080"/>
        <n v="1331611658707000"/>
        <n v="1620127518093520"/>
        <n v="1368600871448870"/>
        <n v="1467838622264290"/>
        <n v="1524293953889840"/>
        <n v="1674841504891310"/>
        <n v="1806570612017590"/>
        <n v="1740706058454450"/>
        <n v="2013573494644610"/>
        <n v="2079438048207750"/>
        <n v="2352305484397910"/>
        <n v="2446397703773820"/>
        <n v="1975936606894240"/>
        <n v="2222601764204650"/>
        <n v="2555326579205340"/>
        <n v="2967905349806210"/>
        <n v="2648489527405540"/>
        <n v="2808197438605870"/>
        <n v="3260703187006820"/>
        <n v="2941287364606150"/>
        <n v="2861433409005980"/>
        <n v="3127613261006540"/>
        <n v="3536837929983390"/>
        <n v="3478538403664980"/>
        <n v="3400805701907110"/>
        <n v="3109308070315070"/>
        <n v="3789469210696490"/>
        <n v="4100400017728000"/>
        <n v="4042100491409590"/>
        <n v="3925501438772770"/>
        <n v="3731169684378080"/>
        <n v="3381372526467640"/>
        <n v="4139948171287130"/>
        <n v="3657377525554270"/>
        <n v="3403392975168560"/>
        <n v="3758971345708560"/>
        <n v="4343135811595700"/>
        <n v="4749511092212840"/>
        <n v="5105089462752840"/>
        <n v="4266940446479990"/>
        <n v="4647917272058560"/>
        <n v="4216143536402850"/>
        <n v="4927300277482840"/>
        <n v="4724112637174270"/>
        <n v="4726417542884180"/>
        <n v="4877905284643290"/>
        <n v="4968797929698760"/>
        <n v="4544632252773250"/>
        <n v="5211178316513330"/>
        <n v="5150583219809690"/>
        <n v="5089988123106040"/>
        <n v="5241475864865150"/>
        <n v="4817310187939650"/>
        <n v="5483856251679730"/>
        <n v="6189120342010940"/>
        <n v="6857264015296220"/>
        <n v="5591307581703070"/>
        <n v="7033091297739710"/>
        <n v="6013293059567450"/>
        <n v="5978127603078750"/>
        <n v="7314414949649300"/>
        <n v="6751767645830120"/>
        <n v="7450470437858230"/>
        <n v="7360161705278130"/>
        <n v="7856859734468680"/>
        <n v="8940564525429870"/>
        <n v="7992322833338820"/>
        <n v="9076027624300020"/>
        <n v="9166336356880120"/>
        <n v="8985718891719920"/>
        <n v="1.02048867815512E+16"/>
        <n v="8037477199628880"/>
        <n v="9451345682153590"/>
        <n v="9920977765738860"/>
        <n v="1.00383857866351E+16"/>
        <n v="9510049692601740"/>
        <n v="1.05667218806686E+16"/>
        <n v="1.08015379224612E+16"/>
        <n v="8805601567223840"/>
        <n v="9862273755290700"/>
        <n v="1.01557938075314E+16"/>
        <n v="1.20343221418725E+16"/>
        <n v="9448754411500350"/>
        <n v="1.1352607912325E+16"/>
        <n v="9942346059862310"/>
        <n v="1.36090268762654E+16"/>
        <n v="1.31154352279034E+16"/>
        <n v="1.24808173942952E+16"/>
        <n v="1.45962101729893E+16"/>
        <n v="1.31859483205266E+16"/>
        <n v="1.48077494508587E+16"/>
        <n v="1.50340475853417E+16"/>
        <n v="1.44113355551796E+16"/>
        <n v="1.63684305071176E+16"/>
        <n v="1.64573893685693E+16"/>
        <n v="1.35217469406623E+16"/>
        <n v="1.54788418926003E+16"/>
        <n v="1.73469779830866E+16"/>
        <n v="1.47671710009865E+16"/>
        <n v="1.70801013987314E+16"/>
        <n v="1.57457184769555E+16"/>
        <n v="1.68132248143762E+16"/>
        <n v="1.79943669102018E+16"/>
        <n v="1.65766289112162E+16"/>
        <n v="1.89758778325764E+16"/>
        <n v="1.67947424495216E+16"/>
        <n v="1.91939913708819E+16"/>
        <n v="2.00664455241038E+16"/>
        <n v="2.06117293698675E+16"/>
        <n v="2.02845590624093E+16"/>
        <n v="1.97392752166456E+16"/>
        <n v="1.87577642942709E+16"/>
        <n v="2.1892201324589E+16"/>
        <n v="2.37165514349714E+16"/>
        <n v="2.01981619363768E+16"/>
        <n v="1.79828796594838E+16"/>
        <n v="2.03284726585469E+16"/>
        <n v="2.13709584359083E+16"/>
        <n v="2.31953085462907E+16"/>
        <n v="2.4889347934503E+16"/>
        <n v="2.43681050458223E+16"/>
        <n v="2.54105908231837E+16"/>
        <n v="2.41136485813274E+16"/>
        <n v="2.53582239919765E+16"/>
        <n v="3.11143852662289E+16"/>
        <n v="2.75362309606125E+16"/>
        <n v="2.36469328023339E+16"/>
        <n v="2.8002946739606E+16"/>
        <n v="2.61360836236322E+16"/>
        <n v="2.97142379292486E+16"/>
        <n v="2.50470801393142E+16"/>
        <n v="2.86252344449305E+16"/>
        <n v="2.92475221502551E+16"/>
        <n v="2.81585186659371E+16"/>
        <n v="2.73140148774655E+16"/>
        <n v="2.65552922419803E+16"/>
        <n v="2.80727375129506E+16"/>
        <n v="2.82624181718219E+16"/>
        <n v="2.95901827839209E+16"/>
        <n v="3.28147539847328E+16"/>
        <n v="3.14869893726338E+16"/>
        <n v="3.18663506903764E+16"/>
        <n v="3.39528379379606E+16"/>
        <n v="3.45218799145744E+16"/>
        <n v="3.42272755625902E+16"/>
        <n v="2.8100170677929E+16"/>
        <n v="3.48611139989345E+16"/>
        <n v="3.6128790871623E+16"/>
        <n v="3.40159960838088E+16"/>
        <n v="3.08468039020875E+16"/>
        <n v="3.38047166050274E+16"/>
        <n v="3.7396467744311504E+16"/>
        <n v="3.9297983053344304E+16"/>
        <n v="3.59175113928416E+16"/>
        <n v="4.5213808459224096E+16"/>
        <n v="3.97205420109072E+16"/>
        <n v="3.90761052123134E+16"/>
        <n v="3.9573889992088096E+16"/>
        <n v="4.3058383450511E+16"/>
        <n v="4.3307275840398304E+16"/>
        <n v="4.3556168230285696E+16"/>
        <n v="3.48449345842285E+16"/>
        <n v="4.48006301797224E+16"/>
        <n v="4.2560598670736304E+16"/>
        <n v="4.9031800807807296E+16"/>
        <n v="5.0774047537018704E+16"/>
        <n v="4.85340160280326E+16"/>
        <n v="5.20204630054554E+16"/>
        <n v="4.5936198326454704E+16"/>
        <n v="4.07645733493042E+16"/>
        <n v="4.8978330665955104E+16"/>
        <n v="4.7153051262254896E+16"/>
        <n v="5.1412036537555296E+16"/>
        <n v="5.6887874748655904E+16"/>
        <n v="5.8713154152356096E+16"/>
        <n v="5.5366808578905696E+16"/>
        <n v="4.8369904198055E+16"/>
        <n v="5.5507223970236304E+16"/>
        <n v="5.5160303820422304E+16"/>
        <n v="6.1751786666887904E+16"/>
        <n v="5.9323345618190096E+16"/>
        <n v="5.34257030713524E+16"/>
        <n v="5.72418247193062E+16"/>
        <n v="5.2384942621910496E+16"/>
        <n v="6.31394672661438E+16"/>
        <n v="5.65479844196782E+16"/>
        <n v="6.1404866517073904E+16"/>
        <n v="5.2731862771724496E+16"/>
        <n v="5.4488395027708896E+16"/>
        <n v="6.9999689962604096E+16"/>
        <n v="6.4033807295336704E+16"/>
        <n v="5.6477022583464704E+16"/>
        <n v="6.0056552183825104E+16"/>
        <n v="4.9715688893895E+16"/>
        <n v="7.7158749163324992E+16"/>
        <n v="6.32383562730344E+16"/>
        <n v="6.6420160362243696E+16"/>
        <n v="6.76133368956972E+16"/>
        <n v="7.11928664960576E+16"/>
        <n v="6.0454277694976304E+16"/>
        <n v="6.52269838287902E+16"/>
        <n v="7.1297125322958304E+16"/>
        <n v="6.6015856780516896E+16"/>
        <n v="7.5258076729789296E+16"/>
        <n v="7.9659133848490496E+16"/>
        <n v="7.61382881535296E+16"/>
        <n v="7.5698182441659392E+16"/>
        <n v="7.3937759594179008E+16"/>
        <n v="7.789871100101E+16"/>
        <n v="7.7018499577269792E+16"/>
        <n v="7.2617442458568608E+16"/>
        <n v="8.0042526757429792E+16"/>
        <n v="8.3680823428222096E+16"/>
        <n v="8.2121553426453904E+16"/>
        <n v="7.0686906746821104E+16"/>
        <n v="8.7838876766270304E+16"/>
        <n v="7.3285690083101296E+16"/>
        <n v="8.6799363431758304E+16"/>
        <n v="7.6404230086637504E+16"/>
        <n v="9.0957416769806592E+16"/>
        <n v="1.0031303678041501E+17"/>
        <n v="9.2516686771574704E+16"/>
        <n v="9.40759567733428E+16"/>
        <n v="7.9003013422917696E+16"/>
        <n v="8.1234569832861104E+16"/>
        <n v="9.0585311684125696E+16"/>
        <n v="7.9481305735748992E+16"/>
        <n v="9.1169733049829696E+16"/>
        <n v="9.7598368072574096E+16"/>
        <n v="8.5325519392789296E+16"/>
        <n v="1.00520474901094E+17"/>
        <n v="9.5260682609758E+16"/>
        <n v="1.04027003095318E+17"/>
        <n v="1.1104005948376701E+17"/>
        <n v="1.09871216752358E+17"/>
        <n v="1.07533531289542E+17"/>
        <n v="1.0573810100975699E+17"/>
        <n v="1.1176115739638899E+17"/>
        <n v="1.24476498657056E+17"/>
        <n v="1.2046112773263501E+17"/>
        <n v="1.1778421378302E+17"/>
        <n v="1.2581495563186301E+17"/>
        <n v="1.2514572714445901E+17"/>
        <n v="1.1443807134600301E+17"/>
        <n v="1.31838012018494E+17"/>
        <n v="1.21799584707442E+17"/>
        <n v="1.31259889174E+17"/>
        <n v="1.1035863293610099E+17"/>
        <n v="1.1119468318561699E+17"/>
        <n v="1.1453888418368099E+17"/>
        <n v="1.1621098468271299E+17"/>
        <n v="1.3878434141964301E+17"/>
        <n v="1.2707963792642E+17"/>
        <n v="1.1871913543126099E+17"/>
        <n v="1.25407537427388E+17"/>
        <n v="1.24571487177872E+17"/>
        <n v="1.30423838924484E+17"/>
        <n v="1.3788687862181699E+17"/>
        <n v="1.16342053837158E+17"/>
        <n v="1.3702508563043101E+17"/>
        <n v="1.2409819075963501E+17"/>
        <n v="1.4822839451845299E+17"/>
        <n v="1.5253735947538499E+17"/>
        <n v="1.3357791366488499E+17"/>
        <n v="1.22374604776862E+17"/>
        <n v="1.25821776742408E+17"/>
        <n v="1.2323639776824899E+17"/>
        <n v="1.40472257595976E+17"/>
        <n v="1.24806737276294E+17"/>
        <n v="1.42503214949798E+17"/>
        <n v="1.39709034264508E+17"/>
        <n v="1.38777640702744E+17"/>
        <n v="1.6019969262330202E+17"/>
        <n v="1.4343460851156099E+17"/>
        <n v="1.4622878919685101E+17"/>
        <n v="1.51817150567432E+17"/>
        <n v="1.1921837590571299E+17"/>
        <n v="1.2573813083805699E+17"/>
        <n v="1.5274854412919501E+17"/>
        <n v="1.4902296988214202E+17"/>
        <n v="1.5496103106570701E+17"/>
        <n v="1.78499415531384E+17"/>
        <n v="1.73595585434368E+17"/>
        <n v="1.7065328737615802E+17"/>
        <n v="1.4221107281346499E+17"/>
        <n v="1.7653788349257699E+17"/>
        <n v="1.6182639320152899E+17"/>
        <n v="1.6673022329854499E+17"/>
        <n v="1.9419167184183501E+17"/>
        <n v="1.8242247960899699E+17"/>
        <n v="2.0031992108907699E+17"/>
        <n v="1.95578621181644E+17"/>
        <n v="1.86096021366776E+17"/>
        <n v="1.92022646251068E+17"/>
        <n v="1.7305744662133299E+17"/>
        <n v="1.6238952182960701E+17"/>
        <n v="2.0506122099651101E+17"/>
        <n v="2.01505246065936E+17"/>
        <n v="2.1572914578823699E+17"/>
        <n v="2.22841095649388E+17"/>
        <n v="1.8543391073030499E+17"/>
        <n v="2.00432241745256E+17"/>
        <n v="2.3042890377515901E+17"/>
        <n v="2.15430572760208E+17"/>
        <n v="1.9770527246981101E+17"/>
        <n v="2.4406375015238701E+17"/>
        <n v="2.1134011884703901E+17"/>
        <n v="1.96341787832088E+17"/>
        <n v="1.9906875710753402E+17"/>
        <n v="2.1406708812248499E+17"/>
        <n v="2.3179238841288198E+17"/>
        <n v="2.09976634209316E+17"/>
        <n v="2.4679071942783299E+17"/>
        <n v="2.3428936409899501E+17"/>
        <n v="2.5356633709448198E+17"/>
        <n v="2.7580899824312099E+17"/>
        <n v="2.6542908970708998E+17"/>
        <n v="2.6098055747736198E+17"/>
        <n v="2.4318642855845101E+17"/>
        <n v="2.4911780486475398E+17"/>
        <n v="2.22426611486388E+17"/>
        <n v="2.3132367594584301E+17"/>
        <n v="2.5504918117105798E+17"/>
        <n v="2.30885863009396E+17"/>
        <n v="2.2399374769568301E+17"/>
        <n v="2.3605494949468099E+17"/>
        <n v="2.6362341074953402E+17"/>
        <n v="2.6706946840639101E+17"/>
        <n v="2.3777797832310899E+17"/>
        <n v="2.51562208950536E+17"/>
        <n v="2.6534643957796198E+17"/>
        <n v="2.9119187200438701E+17"/>
        <n v="2.7740764137696099E+17"/>
        <n v="2.4811615129367901E+17"/>
        <n v="2.5500826660739299E+17"/>
        <n v="2.6969733697992701E+17"/>
        <n v="2.50557525968448E+17"/>
        <n v="2.5751745724534899E+17"/>
        <n v="2.29677732137744E+17"/>
        <n v="2.6273740570302499E+17"/>
        <n v="2.4707756032999699E+17"/>
        <n v="2.8535718235295501E+17"/>
        <n v="2.3141771495696899E+17"/>
        <n v="2.3837764623387101E+17"/>
        <n v="2.66217371341476E+17"/>
        <n v="2.76657268256828E+17"/>
        <n v="2.7011723793613901E+17"/>
        <n v="2.8442808497911299E+17"/>
        <n v="2.7727266145762598E+17"/>
        <n v="2.2360698504647299E+17"/>
        <n v="2.4686211149130598E+17"/>
        <n v="3.0410549966320301E+17"/>
        <n v="3.3630490550989498E+17"/>
        <n v="3.0231664378283098E+17"/>
        <n v="2.8979465262022899E+17"/>
        <n v="2.7168183202667901E+17"/>
        <n v="3.03181174870352E+17"/>
        <n v="2.9530633915943398E+17"/>
        <n v="3.0121246594262298E+17"/>
        <n v="2.8940021237624499E+17"/>
        <n v="2.5396345167711299E+17"/>
        <n v="2.8546279452078598E+17"/>
        <n v="2.7561924988213798E+17"/>
        <n v="2.8349408559305699E+17"/>
        <n v="2.8246887768912099E+17"/>
        <n v="2.76458901568076E+17"/>
        <n v="2.5442232245757699E+17"/>
        <n v="3.0851210754698298E+17"/>
        <n v="2.8447220306280301E+17"/>
        <n v="2.9448882993121101E+17"/>
        <n v="2.6443894932598598E+17"/>
        <n v="2.7445557619439398E+17"/>
        <n v="2.9649215530489299E+17"/>
        <n v="3.1452208366802803E+17"/>
        <n v="3.2053205978907398E+17"/>
        <n v="2.6043229857862202E+17"/>
        <n v="3.00498806052256E+17"/>
        <n v="2.3069872758857501E+17"/>
        <n v="2.9036219162010298E+17"/>
        <n v="3.1025001296394598E+17"/>
        <n v="2.7246315241064499E+17"/>
        <n v="2.5058654893241798E+17"/>
        <n v="3.2417148790463603E+17"/>
        <n v="2.8240706308256602E+17"/>
        <n v="2.8439584521695101E+17"/>
        <n v="2.94339755888872E+17"/>
        <n v="2.8041828094818202E+17"/>
        <n v="2.5106578939330301E+17"/>
        <n v="2.5302724087293798E+17"/>
        <n v="2.6871885271001901E+17"/>
        <n v="2.6283449827111398E+17"/>
        <n v="2.5891159531184301E+17"/>
        <n v="3.2167804266016902E+17"/>
        <n v="2.9421772194527699E+17"/>
        <n v="3.0010207638418202E+17"/>
        <n v="3.0990933378235802E+17"/>
        <n v="2.9814062490454701E+17"/>
        <n v="3.3148530005834502E+17"/>
        <n v="3.0402497934345299E+17"/>
        <n v="3.0708147044570502E+17"/>
        <n v="3.3334501726014003E+17"/>
        <n v="3.2728419876450099E+17"/>
        <n v="3.4748692708329798E+17"/>
        <n v="3.15162561773224E+17"/>
        <n v="3.1920310743698298E+17"/>
        <n v="2.8283819646314899E+17"/>
        <n v="2.9698010628630701E+17"/>
        <n v="3.13142288941344E+17"/>
        <n v="2.8687874212690899E+17"/>
        <n v="2.7760208346264E+17"/>
        <n v="3.1694726064632198E+17"/>
        <n v="3.3006231970754899E+17"/>
        <n v="3.0383220158509498E+17"/>
        <n v="3.0164635840822298E+17"/>
        <n v="3.3443400606129101E+17"/>
        <n v="3.1476141746945101E+17"/>
        <n v="2.579294948708E+17"/>
        <n v="3.2569063335380698E+17"/>
        <n v="2.9508882887760998E+17"/>
        <n v="2.7104455393202701E+17"/>
        <n v="2.7541624028576899E+17"/>
        <n v="2.7323039710889798E+17"/>
        <n v="3.3647645310999398E+17"/>
        <n v="2.8313262517792198E+17"/>
        <n v="3.40579824489384E+17"/>
        <n v="3.1801128190273798E+17"/>
        <n v="3.2621802466151898E+17"/>
        <n v="2.60564082591276E+17"/>
        <n v="3.6314836707603002E+17"/>
        <n v="2.7082251103975101E+17"/>
        <n v="3.3032139604090899E+17"/>
        <n v="3.1822426281390598E+17"/>
        <n v="3.4916273280970202E+17"/>
        <n v="2.6297699496426899E+17"/>
        <n v="3.2264404424187699E+17"/>
        <n v="3.5358251423767302E+17"/>
        <n v="3.0938469995796403E+17"/>
        <n v="3.4695284209571699E+17"/>
        <n v="3.2927371638383302E+17"/>
        <n v="3.6905174923557197E+17"/>
        <n v="3.6684185852158598E+17"/>
        <n v="3.1380448138593498E+17"/>
        <n v="3.3369349781180403E+17"/>
        <n v="3.2953839665671302E+17"/>
        <n v="2.9936938851208397E+17"/>
        <n v="3.6899017653815002E+17"/>
        <n v="3.4810394013032998E+17"/>
        <n v="3.5274532599873498E+17"/>
        <n v="3.2489701078830797E+17"/>
        <n v="3.6666948360394803E+17"/>
        <n v="3.0633146731469101E+17"/>
        <n v="3.4346255426192602E+17"/>
        <n v="3.62028097735544E+17"/>
        <n v="3.3949966240379302E+17"/>
        <n v="3.5836075475955898E+17"/>
        <n v="3.6307602784850099E+17"/>
        <n v="3.0885038732567302E+17"/>
        <n v="3.4421493549273498E+17"/>
        <n v="3.3714202585932198E+17"/>
        <n v="3.2771147968143898E+17"/>
        <n v="3.0177747769225997E+17"/>
        <n v="3.6071839130403002E+17"/>
        <n v="3.2299620659249702E+17"/>
        <n v="3.2063857004802701E+17"/>
        <n v="3.56003118215088E+17"/>
        <n v="3.3478438931485101E+17"/>
        <n v="3.3673958844472102E+17"/>
        <n v="4.01765164144392E+17"/>
        <n v="3.7621940226237798E+17"/>
        <n v="3.4370661441254298E+17"/>
        <n v="3.9712048016584397E+17"/>
        <n v="3.5531832435891302E+17"/>
        <n v="3.2977256247689997E+17"/>
        <n v="3.4835129839109101E+17"/>
        <n v="3.0654914258416E+17"/>
        <n v="3.8550877021947398E+17"/>
        <n v="3.3906193043399501E+17"/>
        <n v="3.6378302517202099E+17"/>
        <n v="3.0970717007888198E+17"/>
        <n v="3.7361499882531898E+17"/>
        <n v="3.0724917666555802E+17"/>
        <n v="3.2691312397215398E+17"/>
        <n v="3.4411907786542502E+17"/>
        <n v="3.1462315690553101E+17"/>
        <n v="3.8344697247861702E+17"/>
        <n v="3.6624101858534502E+17"/>
        <n v="2.9987519642558502E+17"/>
        <n v="3.39203091038776E+17"/>
        <n v="3.5886703834537203E+17"/>
        <n v="3.5640904493204698E+17"/>
        <n v="3.6447703587426202E+17"/>
        <n v="3.6211030187507802E+17"/>
        <n v="3.5974356787589498E+17"/>
        <n v="3.0767541989385702E+17"/>
        <n v="2.9347501589875597E+17"/>
        <n v="3.8577764186691302E+17"/>
        <n v="3.4080969588242598E+17"/>
        <n v="3.2424255788814202E+17"/>
        <n v="3.0057521789630701E+17"/>
        <n v="3.1714235589059098E+17"/>
        <n v="3.5027663187916E+17"/>
        <n v="3.4790989787997702E+17"/>
        <n v="3.3370949388487603E+17"/>
        <n v="3.0315086867670298E+17"/>
        <n v="3.6472838887665901E+17"/>
        <n v="3.81306952007416E+17"/>
        <n v="3.3393962877668102E+17"/>
        <n v="3.55254924230512E+17"/>
        <n v="3.0551923483824E+17"/>
        <n v="3.7420185352280602E+17"/>
        <n v="3.8367531816895302E+17"/>
        <n v="3.4814982574590202E+17"/>
        <n v="3.1262433332284998E+17"/>
        <n v="4.14885903000104E+17"/>
        <n v="3.4937760252640301E+17"/>
        <n v="3.1541033561411398E+17"/>
        <n v="3.5180383587728102E+17"/>
        <n v="3.7606616938605901E+17"/>
        <n v="3.34820202421136E+17"/>
        <n v="2.7173813529831299E+17"/>
        <n v="3.5423006922815898E+17"/>
        <n v="3.4209890247376998E+17"/>
        <n v="3.2026280231586899E+17"/>
        <n v="3.7363993603518099E+17"/>
        <n v="3.2996773571938099E+17"/>
        <n v="3.5908253592991398E+17"/>
        <n v="3.1227126583099002E+17"/>
        <n v="3.5485371117158003E+17"/>
        <n v="3.35928179909096E+17"/>
        <n v="3.3356248850128499E+17"/>
        <n v="3.2646541427785299E+17"/>
        <n v="4.2109307059027501E+17"/>
        <n v="3.5248801976376902E+17"/>
        <n v="3.7141355102625402E+17"/>
        <n v="3.5721940257939002E+17"/>
        <n v="3.9980184791998003E+17"/>
        <n v="3.1936834005442202E+17"/>
        <n v="3.7614493384187501E+17"/>
        <n v="3.6559284478774298E+17"/>
        <n v="3.5571195709077702E+17"/>
        <n v="2.9148618706049798E+17"/>
        <n v="3.9029506403015802E+17"/>
        <n v="3.8535462018167501E+17"/>
        <n v="3.6312262286350099E+17"/>
        <n v="3.3100973784836198E+17"/>
        <n v="3.0630751860594701E+17"/>
        <n v="3.7794395440895002E+17"/>
        <n v="3.4583106939381101E+17"/>
        <n v="3.7547373248470899E+17"/>
        <n v="3.80414176333192E+17"/>
        <n v="3.1865862822715398E+17"/>
        <n v="3.4626603502943699E+17"/>
        <n v="3.4381024754695898E+17"/>
        <n v="3.5608918495935098E+17"/>
        <n v="3.31531310134568E+17"/>
        <n v="3.7819127230165498E+17"/>
        <n v="3.9538178467900301E+17"/>
        <n v="3.7327969733669901E+17"/>
        <n v="3.4872182251191603E+17"/>
        <n v="4.4449753432856902E+17"/>
        <n v="3.2907552265208902E+17"/>
        <n v="3.2661973516961101E+17"/>
        <n v="3.6345654740678502E+17"/>
        <n v="3.4276769198745498E+17"/>
        <n v="3.7577495121587699E+17"/>
        <n v="3.6561887145328602E+17"/>
        <n v="3.8847005091911603E+17"/>
        <n v="3.4022867204680698E+17"/>
        <n v="3.7323593127522899E+17"/>
        <n v="3.7831397115652499E+17"/>
        <n v="3.8593103097846797E+17"/>
        <n v="3.9608711074105901E+17"/>
        <n v="3.2245553246227302E+17"/>
        <n v="3.9100907085976397E+17"/>
        <n v="3.5546279169069402E+17"/>
        <n v="4.2909436996948102E+17"/>
        <n v="3.7422268267022598E+17"/>
        <n v="3.8721652581849798E+17"/>
        <n v="3.5343253363299098E+17"/>
        <n v="3.9501283170746099E+17"/>
        <n v="3.4823499637368301E+17"/>
        <n v="3.9241406307780698E+17"/>
        <n v="4.02809137596424E+17"/>
        <n v="4.0800667485573299E+17"/>
        <n v="3.4563622774402803E+17"/>
        <n v="3.7162391404057203E+17"/>
        <n v="3.5603130226264602E+17"/>
        <n v="4.2177546347282803E+17"/>
        <n v="3.7200071933628301E+17"/>
        <n v="4.3749380372647398E+17"/>
        <n v="4.2439518684843597E+17"/>
        <n v="3.3008514532656102E+17"/>
        <n v="3.8509933621432102E+17"/>
        <n v="3.5890210245824499E+17"/>
        <n v="3.6152182583385203E+17"/>
        <n v="3.6938099596067501E+17"/>
        <n v="4.0867684659479002E+17"/>
        <n v="3.92958506341144E+17"/>
        <n v="4.3225435697525798E+17"/>
        <n v="4.2614365220153901E+17"/>
        <n v="3.6141297085447002E+17"/>
        <n v="4.1805231703315501E+17"/>
        <n v="3.64110082577264E+17"/>
        <n v="4.3423498736992198E+17"/>
        <n v="3.6950430602285299E+17"/>
        <n v="4.31537875647128E+17"/>
        <n v="4.0456675841918202E+17"/>
        <n v="4.23446540478744E+17"/>
        <n v="4.1535520531036102E+17"/>
        <n v="3.9377831152800397E+17"/>
        <n v="4.4169528969823898E+17"/>
        <n v="4.1621286913872602E+17"/>
        <n v="4.0771872895222099E+17"/>
        <n v="4.3036976944956698E+17"/>
        <n v="3.8506768845487501E+17"/>
        <n v="4.2187562926306202E+17"/>
        <n v="4.8416599063076301E+17"/>
        <n v="4.47358049822576E+17"/>
        <n v="3.8223630839270701E+17"/>
        <n v="4.2753838938739802E+17"/>
        <n v="4.53020809946912E+17"/>
        <n v="4.0205596882788499E+17"/>
        <n v="4.33587717335432E+17"/>
        <n v="3.6869703855053798E+17"/>
        <n v="3.7754576747575098E+17"/>
        <n v="3.89344072709368E+17"/>
        <n v="4.6308348041947597E+17"/>
        <n v="4.6603305672788E+17"/>
        <n v="4.1294068317660198E+17"/>
        <n v="4.8373051457830598E+17"/>
        <n v="4.3948686995224102E+17"/>
        <n v="4.2178941210181498E+17"/>
        <n v="5.1322627766234899E+17"/>
        <n v="4.3653729364383699E+17"/>
        <n v="4.1717976343857299E+17"/>
        <n v="4.3834105578690701E+17"/>
        <n v="4.62525389899288E+17"/>
        <n v="4.2927193049476403E+17"/>
        <n v="4.0206455461833498E+17"/>
        <n v="4.2322584696666899E+17"/>
        <n v="3.8090326227000198E+17"/>
        <n v="4.8368668224762099E+17"/>
        <n v="4.4136409755095501E+17"/>
        <n v="4.1415672167452602E+17"/>
        <n v="4.5950234813524E+17"/>
        <n v="5.0240752919603098E+17"/>
        <n v="4.3582339882065402E+17"/>
        <n v="4.1161098777506202E+17"/>
        <n v="4.3884995020135302E+17"/>
        <n v="4.9938097781533197E+17"/>
        <n v="3.8739857672947002E+17"/>
        <n v="4.4792960434344998E+17"/>
        <n v="4.5095615572414797E+17"/>
        <n v="4.6911546400834202E+17"/>
        <n v="4.9635442643463302E+17"/>
        <n v="4.4490305296275002E+17"/>
        <n v="4.2069064191715898E+17"/>
        <n v="4.6729400021747302E+17"/>
        <n v="5.2918724527939002E+17"/>
        <n v="4.5491535120508902E+17"/>
        <n v="4.7348332472366502E+17"/>
        <n v="4.79672649229856E+17"/>
        <n v="4.5182068895199398E+17"/>
        <n v="4.4872602669889798E+17"/>
        <n v="4.7038866247056902E+17"/>
        <n v="4.3015805318032301E+17"/>
        <n v="4.6110467571128102E+17"/>
        <n v="5.4992019929678003E+17"/>
        <n v="5.2700685765941402E+17"/>
        <n v="5.2373352313979002E+17"/>
        <n v="4.6481350178656397E+17"/>
        <n v="5.6628687189489798E+17"/>
        <n v="4.8772684342392998E+17"/>
        <n v="5.00820181502424E+17"/>
        <n v="4.4517349466882202E+17"/>
        <n v="5.4664686477715597E+17"/>
        <n v="5.6956020641452198E+17"/>
        <n v="5.6301353737527501E+17"/>
        <n v="5.3355352669866099E+17"/>
        <n v="5.6395076929735699E+17"/>
        <n v="5.3503021702569798E+17"/>
        <n v="6.3625214997650598E+17"/>
        <n v="4.8080418151633702E+17"/>
        <n v="5.5672063122944198E+17"/>
        <n v="5.3864528605965498E+17"/>
        <n v="5.8564118350110195E+17"/>
        <n v="6.0371652867088896E+17"/>
        <n v="5.8202611446714496E+17"/>
        <n v="5.1333980282195302E+17"/>
        <n v="5.5310556219548499E+17"/>
        <n v="6.3263708094254797E+17"/>
        <n v="5.7479597639923002E+17"/>
        <n v="5.7803350038569702E+17"/>
        <n v="6.8813511950678195E+17"/>
        <n v="6.6060971472651098E+17"/>
        <n v="8.4935534750551398E+17"/>
        <n v="6.2915210926334298E+17"/>
        <n v="6.3701651062913498E+17"/>
        <n v="5.5837249697121702E+17"/>
        <n v="7.6677913316470003E+17"/>
        <n v="7.1959272496994906E+17"/>
        <n v="6.4094871131203098E+17"/>
        <n v="6.09491105848864E+17"/>
        <n v="6.6454191540940698E+17"/>
        <n v="7.2932130362507405E+17"/>
        <n v="7.664841725996E+17"/>
        <n v="6.9215843465054797E+17"/>
        <n v="6.9680379327236403E+17"/>
        <n v="6.4105948981057498E+17"/>
        <n v="7.5254809673415296E+17"/>
        <n v="7.9435632433049498E+17"/>
        <n v="9.5229851747223104E+17"/>
        <n v="7.0144915189417997E+17"/>
        <n v="7.3861202086870605E+17"/>
        <n v="7.3327660466388698E+17"/>
        <n v="6.97129166405808E+17"/>
        <n v="7.4876836391734899E+17"/>
        <n v="9.3466947495889805E+17"/>
        <n v="8.1073540093119898E+17"/>
        <n v="7.2811268491273306E+17"/>
        <n v="7.5909620341965798E+17"/>
        <n v="8.9335811694966502E+17"/>
        <n v="7.7975188242427405E+17"/>
        <n v="9.0368595645197402E+17"/>
        <n v="8.7786635769620301E+17"/>
        <n v="8.3396117540773094E+17"/>
        <n v="7.4943808330559603E+17"/>
        <n v="6.8745448243069696E+17"/>
        <n v="8.0015193856687706E+17"/>
        <n v="8.5086579382815795E+17"/>
        <n v="9.7483299557795597E+17"/>
        <n v="8.5650066663496704E+17"/>
        <n v="7.71977574532832E+17"/>
        <n v="9.9173761399838298E+17"/>
        <n v="1.00864223241881E+18"/>
        <n v="9.6356324996433805E+17"/>
        <n v="9.1284939470305702E+17"/>
        <n v="9.5470235653090701E+17"/>
        <n v="9.2486790788931699E+17"/>
        <n v="8.7116590033445299E+17"/>
        <n v="1.00840436408577E+18"/>
        <n v="1.11580837919549E+18"/>
        <n v="1.08000704082558E+18"/>
        <n v="9.6066924625922598E+17"/>
        <n v="1.07404015109727E+18"/>
        <n v="1.06807326136895E+18"/>
        <n v="1.00243747435745E+18"/>
        <n v="1.12177526892381E+18"/>
        <n v="1.1933779456636301E+18"/>
        <n v="1.2608758765778801E+18"/>
        <n v="1.06028198712231E+18"/>
        <n v="1.17490706681121E+18"/>
        <n v="1.3755009562667799E+18"/>
        <n v="1.2250555391750999E+18"/>
        <n v="1.1175945269667599E+18"/>
        <n v="1.18923520177232E+18"/>
        <n v="1.08893825704453E+18"/>
        <n v="9.88641312316752E+17"/>
        <n v="1.1104304594862001E+18"/>
        <n v="1.2107274042139899E+18"/>
        <n v="1.03878978468064E+18"/>
        <n v="1.2190821371577999E+18"/>
        <n v="1.04028342370799E+18"/>
        <n v="1.03215620946027E+18"/>
        <n v="1.10530113768974E+18"/>
        <n v="9.5901128123080806E+17"/>
        <n v="1.2597182083964001E+18"/>
        <n v="1.13780999468061E+18"/>
        <n v="1.1947004944146501E+18"/>
        <n v="1.0890467091943E+18"/>
        <n v="1.08091949494658E+18"/>
        <n v="1.14593720892833E+18"/>
        <n v="1.27597263689183E+18"/>
        <n v="1.09717392344202E+18"/>
        <n v="1.1813188523917901E+18"/>
        <n v="1.1655679343598999E+18"/>
        <n v="1.04743604912072E+18"/>
        <n v="1.2128206884555799E+18"/>
        <n v="1.3230771146788101E+18"/>
        <n v="1.22069614747152E+18"/>
        <n v="1.2600734425512499E+18"/>
        <n v="1.1340660982961201E+18"/>
        <n v="1.19706977042369E+18"/>
        <n v="1.26794890156719E+18"/>
        <n v="1.11043972124829E+18"/>
        <n v="1.1188573523345201E+18"/>
        <n v="1.20112627530029E+18"/>
        <n v="1.14353802922425E+18"/>
        <n v="1.21758005989345E+18"/>
        <n v="1.2258069521900201E+18"/>
        <n v="1.2093531675968699E+18"/>
        <n v="1.25871452137633E+18"/>
        <n v="1.1599918138174001E+18"/>
        <n v="1.3985716904181499E+18"/>
        <n v="1.2916220905626399E+18"/>
        <n v="1.02013464477559E+18"/>
        <n v="1.2690177581499799E+18"/>
        <n v="1.1528984861624E+18"/>
        <n v="1.17778118730259E+18"/>
        <n v="1.37684279642416E+18"/>
        <n v="1.28560622557677E+18"/>
        <n v="1.3021946930035699E+18"/>
        <n v="1.1943696547293901E+18"/>
        <n v="1.34366586157056E+18"/>
        <n v="1.43490243241795E+18"/>
        <n v="1.2275465895829801E+18"/>
        <n v="1.3602543289973601E+18"/>
        <n v="1.4566720836173801E+18"/>
        <n v="1.23461841233424E+18"/>
        <n v="1.2257362654829199E+18"/>
        <n v="1.40337920250943E+18"/>
        <n v="1.19020767807762E+18"/>
        <n v="1.3323220276988201E+18"/>
        <n v="1.4655542304687099E+18"/>
        <n v="1.3412041745501499E+18"/>
        <n v="1.27014699973955E+18"/>
        <n v="1.27902914659087E+18"/>
        <n v="1.1724433843749701E+18"/>
        <n v="1.12803265011834E+18"/>
        <n v="1.14579694382099E+18"/>
        <n v="1.1989619832197399E+18"/>
        <n v="1.4032295803608801E+18"/>
        <n v="1.29665518185246E+18"/>
        <n v="1.37658598073378E+18"/>
        <n v="1.3943483804851799E+18"/>
        <n v="1.3410611812309701E+18"/>
        <n v="1.4831603792422001E+18"/>
        <n v="1.43875437986369E+18"/>
        <n v="1.3321799813552699E+18"/>
        <n v="1.4920415791179E+18"/>
        <n v="1.5186851787450099E+18"/>
        <n v="1.28430911258831E+18"/>
        <n v="1.34224786954718E+18"/>
        <n v="1.46778184295807E+18"/>
        <n v="1.3905301670129101E+18"/>
        <n v="1.3615607885334799E+18"/>
        <n v="1.47743830245122E+18"/>
        <n v="1.15877513917742E+18"/>
        <n v="1.4388124644786401E+18"/>
        <n v="1.77678854673872E+18"/>
        <n v="1.7381627087661399E+18"/>
        <n v="1.41949954549235E+18"/>
        <n v="1.36728421320355E+18"/>
        <n v="1.3375606433513001E+18"/>
        <n v="1.37719206982096E+18"/>
        <n v="1.31774493011646E+18"/>
        <n v="1.4564549227603E+18"/>
        <n v="1.4267313529080499E+18"/>
        <n v="1.2582977904119601E+18"/>
        <n v="1.4168234962906299E+18"/>
        <n v="1.4069156396732101E+18"/>
        <n v="1.17903493747262E+18"/>
        <n v="1.6843356249608901E+18"/>
        <n v="1.38709992643838E+18"/>
        <n v="1.40346233971331E+18"/>
        <n v="1.6081339309214999E+18"/>
        <n v="1.52041753468942E+18"/>
        <n v="1.4229548722093299E+18"/>
        <n v="1.56914886592946E+18"/>
        <n v="1.2865071447372001E+18"/>
        <n v="1.4814324696973801E+18"/>
        <n v="1.4521936709533499E+18"/>
        <n v="1.53991006718544E+18"/>
        <n v="1.72508912589761E+18"/>
        <n v="1.5983876646734899E+18"/>
        <n v="1.55138397529454E+18"/>
        <n v="1.3431445155234601E+18"/>
        <n v="1.4576762183975501E+18"/>
        <n v="1.68673962414574E+18"/>
        <n v="1.5201480563288699E+18"/>
        <n v="1.53056002931743E+18"/>
        <n v="1.5409720023059799E+18"/>
        <n v="1.5617959482830899E+18"/>
        <n v="1.6138558132258601E+18"/>
        <n v="1.60344384023731E+18"/>
        <n v="1.5722079212716401E+18"/>
        <n v="1.5381771269495301E+18"/>
        <n v="1.4851365363650601E+18"/>
        <n v="1.45331218201438E+18"/>
        <n v="1.5806095994171E+18"/>
        <n v="1.65486642623535E+18"/>
        <n v="1.5169608907157399E+18"/>
        <n v="1.36844723707923E+18"/>
        <n v="1.49574465448195E+18"/>
        <n v="1.4320959457805901E+18"/>
        <n v="1.6654745443522501E+18"/>
        <n v="1.5700014813002099E+18"/>
        <n v="1.3584345336266801E+18"/>
        <n v="1.59191546909377E+18"/>
        <n v="1.41149838259647E+18"/>
        <n v="1.36904730342064E+18"/>
        <n v="1.3902728430085601E+18"/>
        <n v="1.31598345445085E+18"/>
        <n v="1.4433366919783501E+18"/>
        <n v="1.5600771597118899E+18"/>
        <n v="1.2629196054810501E+18"/>
        <n v="1.6343665482696E+18"/>
        <n v="1.6237537784756401E+18"/>
        <n v="1.6660035473509399E+18"/>
        <n v="1.5355333900282701E+18"/>
        <n v="1.6961120451946299E+18"/>
        <n v="1.48535256028879E+18"/>
        <n v="1.2444845775392499E+18"/>
        <n v="1.51546105813248E+18"/>
        <n v="1.5054248921845801E+18"/>
        <n v="1.4953887262366799E+18"/>
        <n v="1.6358950495072399E+18"/>
        <n v="1.46528022839299E+18"/>
        <n v="1.45878217092898E+18"/>
        <n v="1.32911264462418E+18"/>
        <n v="1.6640922542449101E+18"/>
        <n v="1.6748980481036401E+18"/>
        <n v="1.7613443989735099E+18"/>
        <n v="1.70731542967984E+18"/>
        <n v="1.58845169723378E+18"/>
        <n v="1.6424806665274399E+18"/>
        <n v="1.4047532016353101E+18"/>
        <n v="1.42636478935278E+18"/>
        <n v="1.55603431565758E+18"/>
        <n v="1.6100632849512399E+18"/>
        <n v="1.7997090589715999E+18"/>
        <n v="1.4704939872085E+18"/>
        <n v="1.53633700156112E+18"/>
        <n v="1.6789968659917901E+18"/>
        <n v="1.3827033014050099E+18"/>
        <n v="1.96431659485315E+18"/>
        <n v="1.49244165865937E+18"/>
        <n v="1.6680230302663601E+18"/>
        <n v="1.58023234446286E+18"/>
        <n v="1.55828467301199E+18"/>
        <n v="1.7009445374426701E+18"/>
        <n v="1.82987271366576E+18"/>
        <n v="1.85232513960031E+18"/>
        <n v="1.7512892228948401E+18"/>
        <n v="1.72883679696029E+18"/>
        <n v="1.56044360245117E+18"/>
        <n v="1.6278008802548201E+18"/>
        <n v="1.49308632464752E+18"/>
        <n v="1.6951581580584699E+18"/>
        <n v="1.8635513525675899E+18"/>
        <n v="1.5828960283857201E+18"/>
        <n v="1.5267649635493499E+18"/>
        <n v="2.2184217956051899E+18"/>
        <n v="1.8346947823113201E+18"/>
        <n v="2.00257535062739E+18"/>
        <n v="1.77473743648415E+18"/>
        <n v="1.71478009065699E+18"/>
        <n v="1.70278862149155E+18"/>
        <n v="1.8826606589730601E+18"/>
        <n v="1.6907971523261199E+18"/>
        <n v="1.81071184398045E+18"/>
        <n v="1.8946521281384901E+18"/>
        <n v="1.9306265356347899E+18"/>
        <n v="2.17185880433024E+18"/>
        <n v="2.0561976845730099E+18"/>
        <n v="1.5935532055440799E+18"/>
        <n v="1.7863217384728E+18"/>
        <n v="1.85057791611571E+18"/>
        <n v="1.64495814765841E+18"/>
        <n v="1.74776803188706E+18"/>
        <n v="1.82487544505855E+18"/>
        <n v="1.6706606187155699E+18"/>
        <n v="1.60640444107266E+18"/>
        <n v="1.9919415069301E+18"/>
        <n v="1.7220655608299E+18"/>
        <n v="2.10760262668734E+18"/>
        <n v="1.9148340937586199E+18"/>
        <n v="1.8154701249901E+18"/>
        <n v="1.80286269356656E+18"/>
        <n v="1.7524329678723899E+18"/>
        <n v="1.7398255364488399E+18"/>
        <n v="2.0424038906138601E+18"/>
        <n v="1.9163295763784399E+18"/>
        <n v="1.87850728210781E+18"/>
        <n v="2.1180484791551099E+18"/>
        <n v="1.8532924192607201E+18"/>
        <n v="1.6767883793311301E+18"/>
        <n v="1.9541518706490601E+18"/>
        <n v="1.46246204513091E+18"/>
        <n v="1.9365574390968399E+18"/>
        <n v="1.84795677194862E+18"/>
        <n v="2.1390732497213499E+18"/>
        <n v="1.86061401011265E+18"/>
        <n v="2.1264160115573199E+18"/>
        <n v="2.0631298207371599E+18"/>
        <n v="1.79732781929249E+18"/>
        <n v="2.17704496421344E+18"/>
        <n v="1.97452915358894E+18"/>
        <n v="2.16438772604941E+18"/>
        <n v="2.0125008680810299E+18"/>
        <n v="2.0732431371814999E+18"/>
        <n v="1.9891927397281999E+18"/>
        <n v="1.7930751456704901E+18"/>
        <n v="1.9471675410015401E+18"/>
        <n v="1.8771255431237901E+18"/>
        <n v="2.05923473760595E+18"/>
        <n v="2.26936073123921E+18"/>
        <n v="2.1292767354837E+18"/>
        <n v="2.1432851350592499E+18"/>
        <n v="2.0172095388793001E+18"/>
        <n v="2.2973775303903099E+18"/>
        <n v="2.0872515367570501E+18"/>
        <n v="2.0452263380304E+18"/>
        <n v="2.03849411325517E+18"/>
        <n v="2.45189501734189E+18"/>
        <n v="2.1097701312011599E+18"/>
        <n v="2.16679094555794E+18"/>
        <n v="2.13828053837955E+18"/>
        <n v="2.4804054245202801E+18"/>
        <n v="2.2380669635039301E+18"/>
        <n v="1.9244524845416E+18"/>
        <n v="1.8816868737740001E+18"/>
        <n v="2.66572307117984E+18"/>
        <n v="2.22381175991473E+18"/>
        <n v="2.5374262388770698E+18"/>
        <n v="1.98147329889838E+18"/>
        <n v="1.95806463779823E+18"/>
        <n v="2.05057162856035E+18"/>
        <n v="2.22016777829091E+18"/>
        <n v="2.1739142829098501E+18"/>
        <n v="2.32809260084672E+18"/>
        <n v="2.12766078752879E+18"/>
        <n v="2.4514352551962102E+18"/>
        <n v="2.3435104326403999E+18"/>
        <n v="2.1122429557350999E+18"/>
        <n v="2.5439422459583299E+18"/>
        <n v="2.18933211470353E+18"/>
        <n v="2.4051817598151501E+18"/>
        <n v="2.52852441416465E+18"/>
        <n v="2.36885640597071E+18"/>
        <n v="2.4794030382493399E+18"/>
        <n v="2.3372716538911002E+18"/>
        <n v="2.4636106622095401E+18"/>
        <n v="2.5109877903289498E+18"/>
        <n v="2.5899496705279698E+18"/>
        <n v="2.4162335340901202E+18"/>
        <n v="2.21093264557266E+18"/>
        <n v="2.5425725424085601E+18"/>
        <n v="2.1793478934930501E+18"/>
        <n v="2.6373267986473902E+18"/>
        <n v="2.14776314141344E+18"/>
        <n v="2.5267801663687598E+18"/>
        <n v="2.5623501341149998E+18"/>
        <n v="2.88055047756719E+18"/>
        <n v="2.51210797462255E+18"/>
        <n v="2.7968135450797798E+18"/>
        <n v="2.8303083180747402E+18"/>
        <n v="2.6460870666024202E+18"/>
        <n v="2.9140452505621601E+18"/>
        <n v="3.1652560480244198E+18"/>
        <n v="3.0312769560445501E+18"/>
        <n v="2.69573474214349E+18"/>
        <n v="2.91061214912595E+18"/>
        <n v="3.0278180074800102E+18"/>
        <n v="3.3208326533651702E+18"/>
        <n v="2.9692150783029801E+18"/>
        <n v="3.26222972418814E+18"/>
        <n v="2.8129406004975601E+18"/>
        <n v="2.8324749102232402E+18"/>
        <n v="3.7505874673300797E+18"/>
        <n v="3.06688662693137E+18"/>
        <n v="3.33680782080877E+18"/>
        <n v="2.6232765886861399E+18"/>
        <n v="3.1689181191328502E+18"/>
        <n v="3.06398705558541E+18"/>
        <n v="3.54666994790366E+18"/>
        <n v="3.0849732682949002E+18"/>
        <n v="2.9170835666189798E+18"/>
        <n v="2.93806977932847E+18"/>
        <n v="3.42075267164672E+18"/>
        <n v="3.3086044562882002E+18"/>
        <n v="2.93611256385841E+18"/>
        <n v="3.2428705929182403E+18"/>
        <n v="3.0237577150183598E+18"/>
        <n v="3.28669316849822E+18"/>
        <n v="3.5715399097680599E+18"/>
        <n v="3.6591850609280102E+18"/>
        <n v="3.9002092266178801E+18"/>
        <n v="3.1552254417582899E+18"/>
        <n v="3.35242703186818E+18"/>
        <n v="3.4400721830281298E+18"/>
        <n v="3.0234559116644198E+18"/>
        <n v="3.36703044708083E+18"/>
        <n v="3.2525056019420201E+18"/>
        <n v="3.5044602612473902E+18"/>
        <n v="3.3899354161085901E+18"/>
        <n v="3.5731751683306701E+18"/>
        <n v="3.4128403851363502E+18"/>
        <n v="3.55027019930291E+18"/>
        <n v="3.3212205090253102E+18"/>
        <n v="3.6417048372061E+18"/>
        <n v="3.71264713922959E+18"/>
        <n v="3.9018266112922501E+18"/>
        <n v="3.2160510250651197E+18"/>
        <n v="3.3579356291121198E+18"/>
        <n v="3.7599420072452598E+18"/>
        <n v="3.4998202331591101E+18"/>
        <n v="4.1619483853784003E+18"/>
        <n v="3.1451087230416302E+18"/>
        <n v="3.9254740453000801E+18"/>
        <n v="3.1214612890338002E+18"/>
        <n v="3.66535227121393E+18"/>
        <n v="3.26334589308079E+18"/>
        <n v="3.8781791772844201E+18"/>
        <n v="3.3529999663580298E+18"/>
        <n v="3.2784888559945201E+18"/>
        <n v="3.9242518124782802E+18"/>
        <n v="4.3713184746593597E+18"/>
        <n v="3.1046295984796498E+18"/>
        <n v="4.02359995962963E+18"/>
        <n v="3.6510444078120699E+18"/>
        <n v="3.4026740399337001E+18"/>
        <n v="3.9490888492661202E+18"/>
        <n v="4.1477851435688202E+18"/>
        <n v="3.5268592238728899E+18"/>
        <n v="3.2879720066240799E+18"/>
        <n v="3.59864652693502E+18"/>
        <n v="3.8834315038867098E+18"/>
        <n v="3.7798733304497398E+18"/>
        <n v="3.5727569835757798E+18"/>
        <n v="3.7022047003719997E+18"/>
        <n v="4.3235537409938801E+18"/>
        <n v="3.7539837870904899E+18"/>
        <n v="3.9611001339644498E+18"/>
        <n v="3.2103033765463501E+18"/>
        <n v="3.8316524171682299E+18"/>
        <n v="3.8142816337006602E+18"/>
        <n v="3.52885919852578E+18"/>
        <n v="4.4889164804776499E+18"/>
        <n v="3.9180716101278899E+18"/>
        <n v="3.8921241160210801E+18"/>
        <n v="4.09970406887554E+18"/>
        <n v="3.4250692220985498E+18"/>
        <n v="4.3591790099436099E+18"/>
        <n v="3.3472267397781299E+18"/>
        <n v="4.3332315158368E+18"/>
        <n v="4.6705489392253E+18"/>
        <n v="4.0218615865551201E+18"/>
        <n v="4.1197730024115E+18"/>
        <n v="3.75790104949698E+18"/>
        <n v="4.2867908268335898E+18"/>
        <n v="4.3981360431149798E+18"/>
        <n v="4.5651538675370701E+18"/>
        <n v="4.7321716919591598E+18"/>
        <n v="3.67439213728593E+18"/>
        <n v="4.3146271309039401E+18"/>
        <n v="3.9527551779894098E+18"/>
        <n v="4.5929901716074199E+18"/>
        <n v="4.0919366983411502E+18"/>
        <n v="4.0641003942707999E+18"/>
        <n v="4.9767377816556595E+18"/>
        <n v="4.5620096331843599E+18"/>
        <n v="4.8286205857730499E+18"/>
        <n v="4.53238619400783E+18"/>
        <n v="4.8878674641261005E+18"/>
        <n v="4.4731393156547901E+18"/>
        <n v="5.3025956125973996E+18"/>
        <n v="4.8582440249495695E+18"/>
        <n v="5.0359846600086999E+18"/>
        <n v="4.32502211977218E+18"/>
        <n v="5.6877003218921902E+18"/>
        <n v="4.7693737074200105E+18"/>
        <n v="5.5335810861142497E+18"/>
        <n v="5.0949435609954396E+18"/>
        <n v="5.5673224342003098E+18"/>
        <n v="4.7575300801348096E+18"/>
        <n v="4.92623682056512E+18"/>
        <n v="4.9599781686511903E+18"/>
        <n v="4.7237887320487496E+18"/>
        <n v="5.1624262571675597E+18"/>
        <n v="4.9937195167372503E+18"/>
        <n v="4.89249547247906E+18"/>
        <n v="5.1299056443010601E+18"/>
        <n v="5.3421776019962798E+18"/>
        <n v="4.8822550269899704E+18"/>
        <n v="4.9530123462217103E+18"/>
        <n v="4.9176336866058404E+18"/>
        <n v="5.6605855385391002E+18"/>
        <n v="5.16528430391693E+18"/>
        <n v="4.3161964731360599E+18"/>
        <n v="5.0237696654534502E+18"/>
        <n v="4.63460440967889E+18"/>
        <n v="5.5544495596914903E+18"/>
        <n v="4.24543915390432E+18"/>
        <n v="5.4483135808438897E+18"/>
        <n v="5.80210017700258E+18"/>
        <n v="6.6227987906770504E+18"/>
        <n v="5.9887010341228595E+18"/>
        <n v="5.3898309307105802E+18"/>
        <n v="5.2489203181429801E+18"/>
        <n v="5.0023267461496801E+18"/>
        <n v="5.2136926650010798E+18"/>
        <n v="5.8125627684133704E+18"/>
        <n v="4.8614161335820902E+18"/>
        <n v="6.9398476689541396E+18"/>
        <n v="6.0943839935485604E+18"/>
        <n v="6.2352946061161595E+18"/>
        <n v="5.5307415432781701E+18"/>
        <n v="5.5590498440678697E+18"/>
        <n v="5.0791318719181302E+18"/>
        <n v="6.51888578836736E+18"/>
        <n v="5.9189883231801805E+18"/>
        <n v="6.5988721170589901E+18"/>
        <n v="5.9589814875259996E+18"/>
        <n v="6.4788926240215501E+18"/>
        <n v="6.1589473092550605E+18"/>
        <n v="6.3989062953299302E+18"/>
        <n v="6.8788242674796698E+18"/>
        <n v="7.1187832535545498E+18"/>
        <n v="5.8789951588343695E+18"/>
        <n v="6.5853274852995799E+18"/>
        <n v="6.4142800181489398E+18"/>
        <n v="6.7136130856625603E+18"/>
        <n v="6.2859944177859697E+18"/>
        <n v="6.2004706842106501E+18"/>
        <n v="6.37151815136128E+18"/>
        <n v="6.4998037517242604E+18"/>
        <n v="5.9011376166970296E+18"/>
        <n v="7.6543741549910702E+18"/>
        <n v="7.5688504214157599E+18"/>
        <n v="5.9866613502723502E+18"/>
        <n v="6.5425656185119201E+18"/>
        <n v="7.0129461531761797E+18"/>
        <n v="6.1498180783204403E+18"/>
        <n v="6.6087597259562895E+18"/>
        <n v="6.1957122430840197E+18"/>
        <n v="6.7923363850106296E+18"/>
        <n v="5.96624141926609E+18"/>
        <n v="6.9759130440649697E+18"/>
        <n v="8.2150554926817802E+18"/>
        <n v="6.8382305497742203E+18"/>
        <n v="6.9300188793013903E+18"/>
        <n v="5.27782894781231E+18"/>
        <n v="4.0845806639590902E+18"/>
        <n v="7.2971721974100695E+18"/>
        <n v="4.4592775076519997E+18"/>
        <n v="4.6358825574599997E+18"/>
        <n v="6.8434456800600105E+18"/>
        <n v="5.69551285630801E+18"/>
        <n v="6.57853810534801E+18"/>
        <n v="7.4174120919360102E+18"/>
        <n v="7.1966557796760105E+18"/>
        <n v="7.6823196666480097E+18"/>
        <n v="7.2408070421280102E+18"/>
        <n v="6.7992944176080097E+18"/>
        <n v="7.7264709291000105E+18"/>
        <n v="8.69779870304401E+18"/>
        <n v="7.1525045172240097E+18"/>
        <n v="8.0729252766442097E+18"/>
        <n v="8.0270563830269102E+18"/>
        <n v="7.7518430213231299E+18"/>
        <n v="6.3299073191869297E+18"/>
        <n v="7.9811874894096097E+18"/>
        <n v="8.6233520000517704E+18"/>
        <n v="8.7150897872863601E+18"/>
        <n v="8.2564008511133901E+18"/>
        <n v="6.9659954516794501E+18"/>
        <n v="8.5566558304094095E+18"/>
        <n v="6.4174918728070605E+18"/>
        <n v="9.6536629881542103E+18"/>
        <n v="7.6241997463263304E+18"/>
        <n v="9.1051594092818104E+18"/>
        <n v="7.9533018936497705E+18"/>
        <n v="6.85629473590498E+18"/>
        <n v="7.5693493884390902E+18"/>
        <n v="8.0630026094242499E+18"/>
        <n v="9.7085133460414505E+18"/>
        <n v="9.269710482943531E+18"/>
        <n v="7.1305465253411697E+18"/>
        <n v="8.3801320396201595E+18"/>
        <n v="1.0223761088336599E+19"/>
        <n v="7.4862512887273503E+18"/>
        <n v="6.9834433663501302E+18"/>
        <n v="8.8829399619973704E+18"/>
        <n v="8.8270724150665697E+18"/>
        <n v="1.01678935414058E+19"/>
        <n v="8.9946750558589798E+18"/>
        <n v="8.93880750892817E+18"/>
        <n v="7.7655890233813504E+18"/>
        <n v="8.5477346804125696E+18"/>
        <n v="7.5979863825889495E+18"/>
        <n v="7.8773241172429496E+18"/>
        <n v="1.1601113065312201E+19"/>
        <n v="1.03517624275094E+19"/>
        <n v="9.7568335523651809E+18"/>
        <n v="8.9834260146776996E+18"/>
        <n v="1.0589733977567001E+19"/>
        <n v="1.06492268650815E+19"/>
        <n v="9.10241178970654E+18"/>
        <n v="1.08277055276247E+19"/>
        <n v="1.0173283764966101E+19"/>
        <n v="9.9353122149084406E+18"/>
        <n v="1.1006184190168001E+19"/>
        <n v="1.07087197525959E+19"/>
        <n v="7.5109899435995003E+18"/>
        <n v="6.13878985774959E+18"/>
        <n v="1.1122042801099201E+19"/>
        <n v="1.0616495401049201E+19"/>
        <n v="9.9665058866993295E+18"/>
        <n v="1.1266484915399201E+19"/>
        <n v="1.08331585724992E+19"/>
        <n v="8.5943058008494203E+18"/>
        <n v="9.3887374294993695E+18"/>
        <n v="1.01831690581493E+19"/>
        <n v="9.6054006009493606E+18"/>
        <n v="1.03998322295993E+19"/>
        <n v="1.1049821743949199E+19"/>
        <n v="8.6665268579994204E+18"/>
        <n v="5.4260631633081098E+18"/>
        <n v="9.4956105357891994E+18"/>
        <n v="8.6817010612929802E+18"/>
        <n v="1.03095200102854E+19"/>
        <n v="1.13269068534056E+19"/>
        <n v="9.2243073776237896E+18"/>
        <n v="1.0852126326616199E+19"/>
        <n v="1.1869513169736499E+19"/>
        <n v="1.17338615906538E+19"/>
        <n v="1.0038216852120001E+19"/>
        <n v="1.06486489579921E+19"/>
        <n v="1.0106042641661301E+19"/>
        <n v="1.04457294715118E+19"/>
        <n v="1.0244850058598101E+19"/>
        <n v="1.1383166731775701E+19"/>
        <n v="1.15840461446894E+19"/>
        <n v="1.1182287318862E+19"/>
        <n v="1.2253644187734999E+19"/>
        <n v="1.0780528493034701E+19"/>
        <n v="1.1784925557603101E+19"/>
        <n v="1.2119724579125899E+19"/>
        <n v="1.19188451662122E+19"/>
        <n v="1.25884432092579E+19"/>
        <n v="1.20207551114561E+19"/>
        <n v="1.23370907722839E+19"/>
        <n v="1.3760601246009E+19"/>
        <n v="1.2969762093939499E+19"/>
        <n v="1.35233495003881E+19"/>
        <n v="1.4709608228492401E+19"/>
        <n v="1.4630524313285401E+19"/>
        <n v="1.33651816699742E+19"/>
        <n v="1.4393272567664599E+19"/>
        <n v="1.3035760950520199E+19"/>
        <n v="1.26633106376482E+19"/>
        <n v="1.22908603247762E+19"/>
        <n v="1.4432449623790201E+19"/>
        <n v="1.2942648372302201E+19"/>
        <n v="1.41531118891362E+19"/>
        <n v="1.2570198059430199E+19"/>
        <n v="1.32219861069562E+19"/>
        <n v="1.4525562202008199E+19"/>
        <n v="1.3873774154482201E+19"/>
        <n v="1.5363575405970301E+19"/>
        <n v="1.36875489980462E+19"/>
        <n v="1.51773502495343E+19"/>
        <n v="1.4975580959693799E+19"/>
        <n v="1.6415540667356701E+19"/>
        <n v="1.5071578273538001E+19"/>
        <n v="1.61275487258241E+19"/>
        <n v="1.3727615879719299E+19"/>
        <n v="1.55515648427589E+19"/>
        <n v="1.5935554098135699E+19"/>
        <n v="1.5743559470447301E+19"/>
        <n v="1.85274815719289E+19"/>
        <n v="1.7087521864266E+19"/>
        <n v="1.6501289113758599E+19"/>
        <n v="1.7165770554581E+19"/>
        <n v="1.6612036020562301E+19"/>
        <n v="1.7608758181796E+19"/>
        <n v="1.8494733436225999E+19"/>
        <n v="1.91592148770485E+19"/>
        <n v="1.8273239622618499E+19"/>
        <n v="1.9712949411067302E+19"/>
        <n v="2.0709671572301001E+19"/>
        <n v="1.96022025042635E+19"/>
        <n v="1.94914555974598E+19"/>
        <n v="2.04451485647802E+19"/>
        <n v="2.0056949541398299E+19"/>
        <n v="2.0315748890319602E+19"/>
        <n v="1.9151151820173902E+19"/>
        <n v="2.16097456349259E+19"/>
        <n v="1.51397619118942E+19"/>
        <n v="2.0703947913701499E+19"/>
        <n v="2.17391453093866E+19"/>
        <n v="2.3033142053992899E+19"/>
        <n v="2.3938939775217402E+19"/>
        <n v="2.1997944658307801E+19"/>
        <n v="2.0149017211913302E+19"/>
        <n v="1.87200088990116E+19"/>
        <n v="1.9291612224172298E+19"/>
        <n v="2.04348188744936E+19"/>
        <n v="2.1578025524815E+19"/>
        <n v="2.3721537994167398E+19"/>
        <n v="2.3435736331587101E+19"/>
        <n v="2.5579248800939602E+19"/>
        <n v="2.2435430512555901E+19"/>
        <n v="2.1292223862234599E+19"/>
        <n v="2.3149934669006799E+19"/>
        <n v="2.10791986660828E+19"/>
        <n v="2.5265138826723299E+19"/>
        <n v="2.2275181569122902E+19"/>
        <n v="2.21256837062429E+19"/>
        <n v="2.1677190117602902E+19"/>
        <n v="2.5564134552483402E+19"/>
        <n v="2.3919658060803199E+19"/>
        <n v="2.3172168746403099E+19"/>
        <n v="2.4667147375203299E+19"/>
        <n v="2.3321666609283101E+19"/>
        <n v="2.69096153184036E+19"/>
        <n v="2.4372959730936799E+19"/>
        <n v="2.5517998107557999E+19"/>
        <n v="2.5681575018503901E+19"/>
        <n v="2.6499459573233299E+19"/>
        <n v="2.3882228998099198E+19"/>
        <n v="2.2900767532423901E+19"/>
        <n v="2.5027267374720401E+19"/>
        <n v="2.6335882662287499E+19"/>
        <n v="2.58451519294498E+19"/>
        <n v="2.3555075176207401E+19"/>
        <n v="2.59907112963934E+19"/>
        <n v="2.6679206959873999E+19"/>
        <n v="2.1859737315509699E+19"/>
        <n v="2.6162835212263502E+19"/>
        <n v="2.4613719969432101E+19"/>
        <n v="2.2892480810730598E+19"/>
        <n v="2.6851330875744199E+19"/>
        <n v="2.32367286424709E+19"/>
        <n v="2.5818587380523201E+19"/>
        <n v="2.7884074370965098E+19"/>
        <n v="2.20318612313798E+19"/>
        <n v="2.8274794216837399E+19"/>
        <n v="2.7227579616213799E+19"/>
        <n v="2.8449329983608001E+19"/>
        <n v="2.5656757715278402E+19"/>
        <n v="2.4085935814343E+19"/>
        <n v="3.1416438018708201E+19"/>
        <n v="2.8100258450066801E+19"/>
        <n v="2.8623865750378598E+19"/>
        <n v="2.6878508082672599E+19"/>
        <n v="2.87984015171492E+19"/>
        <n v="2.6146926519477101E+19"/>
        <n v="3.11091169538304E+19"/>
        <n v="2.69103404324545E+19"/>
        <n v="3.0918263475585999E+19"/>
        <n v="3.0536556519097299E+19"/>
        <n v="3.3971919127495799E+19"/>
        <n v="3.0345703040853E+19"/>
        <n v="2.9200582171386798E+19"/>
        <n v="2.3474977824056001E+19"/>
        <n v="2.83911458892921E+19"/>
        <n v="2.55920188297844E+19"/>
        <n v="3.1590148243015201E+19"/>
        <n v="3.0990335301692101E+19"/>
        <n v="2.7991270595076698E+19"/>
        <n v="3.0190584713261302E+19"/>
        <n v="2.7591395300861301E+19"/>
        <n v="3.2189961184338301E+19"/>
        <n v="2.73914576537537E+19"/>
        <n v="2.9990647066153599E+19"/>
        <n v="2.7791332947968999E+19"/>
        <n v="3.1990023537230598E+19"/>
        <n v="3.0790397654584402E+19"/>
        <n v="2.6161151169140998E+19"/>
        <n v="3.3988897188253999E+19"/>
        <n v="3.0487010811282399E+19"/>
        <n v="2.7191117750603198E+19"/>
        <n v="3.0075024178697499E+19"/>
        <n v="3.6872803616348299E+19"/>
        <n v="3.1722970709037101E+19"/>
        <n v="2.9663037546112598E+19"/>
        <n v="3.2340950657914499E+19"/>
        <n v="3.1104990760159801E+19"/>
        <n v="3.3370917239376699E+19"/>
        <n v="2.9457044229820199E+19"/>
        <n v="3.7681533930275701E+19"/>
        <n v="3.4684139185821901E+19"/>
        <n v="3.5112338435029598E+19"/>
        <n v="3.3399541438198899E+19"/>
        <n v="2.9759847819933602E+19"/>
        <n v="3.7253334681068003E+19"/>
        <n v="3.6396936182652699E+19"/>
        <n v="3.55405376842373E+19"/>
        <n v="3.2543142939783598E+19"/>
        <n v="3.4898238810425799E+19"/>
        <n v="3.9180231302502597E+19"/>
        <n v="3.7467434305671897E+19"/>
        <n v="3.6103754486898602E+19"/>
        <n v="3.5121339398819701E+19"/>
        <n v="3.56125469428591E+19"/>
        <n v="3.1191679046504198E+19"/>
        <n v="3.4384528082760499E+19"/>
        <n v="3.7577377119016903E+19"/>
        <n v="4.07702261552732E+19"/>
        <n v="3.8559792207095702E+19"/>
        <n v="4.02790186112338E+19"/>
        <n v="3.9122596140543099E+19"/>
        <n v="4.2908653831563403E+19"/>
        <n v="3.8112980756270998E+19"/>
        <n v="4.0384615370883203E+19"/>
        <n v="4.3161057677631398E+19"/>
        <n v="3.9627403832679096E+19"/>
        <n v="3.6850961525930902E+19"/>
        <n v="3.0540865374230401E+19"/>
        <n v="3.5588942295590801E+19"/>
        <n v="3.7103365371998896E+19"/>
        <n v="3.0929068693117501E+19"/>
        <n v="3.5728406938601202E+19"/>
        <n v="3.65282966461819E+19"/>
        <n v="4.2660784404299997E+19"/>
        <n v="4.1594264794192503E+19"/>
        <n v="4.2127524599246299E+19"/>
        <n v="3.6261666743654998E+19"/>
        <n v="3.9727855476504404E+19"/>
        <n v="3.59950368411281E+19"/>
        <n v="3.7594816256289399E+19"/>
        <n v="3.8128076061343097E+19"/>
        <n v="3.5461777036074402E+19"/>
        <n v="3.1995588303225E+19"/>
        <n v="4.0931868491512201E+19"/>
        <n v="4.4793365519013396E+19"/>
        <n v="4.4021066113513202E+19"/>
        <n v="3.9644702815678497E+19"/>
        <n v="3.5268339517843898E+19"/>
        <n v="4.6852830600347304E+19"/>
        <n v="4.2733900437679399E+19"/>
        <n v="4.5565664924513599E+19"/>
        <n v="4.2476467302512697E+19"/>
        <n v="4.2991333572846199E+19"/>
        <n v="3.7327804599177798E+19"/>
        <n v="5.0277183100841804E+19"/>
        <n v="3.9630250208898802E+19"/>
        <n v="4.3474975975433798E+19"/>
        <n v="4.4362220383095702E+19"/>
        <n v="4.5249464790757597E+19"/>
        <n v="4.9094190557292503E+19"/>
        <n v="5.2051671916165603E+19"/>
        <n v="4.7319701741968703E+19"/>
        <n v="3.8743005801236898E+19"/>
        <n v="4.4657968518983E+19"/>
        <n v="4.64324573343068E+19"/>
        <n v="4.4066472247208403E+19"/>
        <n v="5.3994493054849098E+19"/>
        <n v="4.9230273079421297E+19"/>
        <n v="4.7642199754278699E+19"/>
        <n v="4.3195594443879301E+19"/>
        <n v="5.1135961069592404E+19"/>
        <n v="5.0183117074506899E+19"/>
        <n v="4.8277429084335702E+19"/>
        <n v="5.0818346404563902E+19"/>
        <n v="4.6054126429136003E+19"/>
        <n v="4.7006970424221598E+19"/>
        <n v="4.7324585089250099E+19"/>
        <n v="4.6371741094164603E+19"/>
        <n v="4.5145645914494501E+19"/>
        <n v="5.7853309208944804E+19"/>
        <n v="6.1866255512455504E+19"/>
        <n v="5.1165065369760498E+19"/>
        <n v="4.6483294682331398E+19"/>
        <n v="5.1499477561719702E+19"/>
        <n v="5.1833889753678897E+19"/>
        <n v="5.0496240985842E+19"/>
        <n v="4.8155355642127499E+19"/>
        <n v="4.2135936186861601E+19"/>
        <n v="4.4142409338616898E+19"/>
        <n v="5.0161828793882796E+19"/>
        <n v="5.30367955276177E+19"/>
        <n v="5.2338942954885898E+19"/>
        <n v="5.6874984677642699E+19"/>
        <n v="4.7105048659397296E+19"/>
        <n v="4.9198606377592701E+19"/>
        <n v="5.8619616109472203E+19"/>
        <n v="5.1641090382154097E+19"/>
        <n v="4.6058269800299602E+19"/>
        <n v="4.88496800912268E+19"/>
        <n v="4.8500753804860899E+19"/>
        <n v="4.9547532663958602E+19"/>
        <n v="5.4432500673081303E+19"/>
        <n v="5.3734648100349501E+19"/>
        <n v="5.1200543877861499E+19"/>
        <n v="5.5111696535198097E+19"/>
        <n v="5.3333899872772399E+19"/>
        <n v="5.2622781207802102E+19"/>
        <n v="6.0089527189990203E+19"/>
        <n v="4.9422747215435702E+19"/>
        <n v="5.0844984545376297E+19"/>
        <n v="5.4756137202713002E+19"/>
        <n v="5.4045018537742696E+19"/>
        <n v="5.7956171195079303E+19"/>
        <n v="5.6178374532653597E+19"/>
        <n v="4.8711628550465397E+19"/>
        <n v="5.1556103210346602E+19"/>
        <n v="5.5588275237840101E+19"/>
        <n v="4.8176505206128099E+19"/>
        <n v="4.6323562698200097E+19"/>
        <n v="5.2623567225155297E+19"/>
        <n v="5.0029447714056102E+19"/>
        <n v="5.3364744228326498E+19"/>
        <n v="5.8923571752110596E+19"/>
        <n v="4.89176822092993E+19"/>
        <n v="5.2252978723569697E+19"/>
        <n v="4.2247089180758499E+19"/>
        <n v="6.0035337256867398E+19"/>
        <n v="5.1141213218812903E+19"/>
        <n v="5.0702736583466902E+19"/>
        <n v="5.1059798108702597E+19"/>
        <n v="4.9274490482524201E+19"/>
        <n v="5.5344536411530797E+19"/>
        <n v="5.4987474886295101E+19"/>
        <n v="4.0347952351632097E+19"/>
        <n v="4.8917428957288497E+19"/>
        <n v="4.8560367432052802E+19"/>
        <n v="4.99886135329956E+19"/>
        <n v="5.2130982684409602E+19"/>
        <n v="5.8201028613416296E+19"/>
        <n v="5.1070835076711399E+19"/>
        <n v="5.7499331799654097E+19"/>
        <n v="4.3928060940108399E+19"/>
        <n v="5.1427973783541498E+19"/>
        <n v="4.5713754474259104E+19"/>
        <n v="4.6428031887919399E+19"/>
        <n v="4.3213783526448103E+19"/>
        <n v="4.5356615767428997E+19"/>
        <n v="4.6785170594749604E+19"/>
        <n v="5.2142251197201801E+19"/>
        <n v="4.9999418956220899E+19"/>
        <n v="4.2856644819617898E+19"/>
        <n v="4.8213725422070202E+19"/>
        <n v="4.49994770605988E+19"/>
        <n v="4.7956936497607999E+19"/>
        <n v="4.0680711649695097E+19"/>
        <n v="4.16729241289559E+19"/>
        <n v="4.3657349087477596E+19"/>
        <n v="3.4727436774129902E+19"/>
        <n v="4.0349974156608102E+19"/>
        <n v="4.1342186635869004E+19"/>
        <n v="4.7295461511434101E+19"/>
        <n v="4.2003661622042903E+19"/>
        <n v="3.6711861732651602E+19"/>
        <n v="4.33266115943907E+19"/>
        <n v="3.9027024184260297E+19"/>
        <n v="3.34044868017821E+19"/>
        <n v="4.1011449142782001E+19"/>
        <n v="3.7704074211912499E+19"/>
        <n v="3.1998005400322998E+19"/>
        <n v="3.8734427589864604E+19"/>
        <n v="3.6488953526684099E+19"/>
        <n v="3.7892374816171901E+19"/>
        <n v="3.56469007529914E+19"/>
        <n v="3.5927585010888901E+19"/>
        <n v="3.4804847979298701E+19"/>
        <n v="3.5085532237196202E+19"/>
        <n v="3.36821109477084E+19"/>
        <n v="3.6769637784581599E+19"/>
        <n v="4.0979901653045199E+19"/>
        <n v="4.1821954426737902E+19"/>
        <n v="3.2278689658220499E+19"/>
        <n v="4.4909481263611199E+19"/>
        <n v="3.78224074037364E+19"/>
        <n v="3.4268624157747798E+19"/>
        <n v="3.55378324598866E+19"/>
        <n v="4.4422290574858199E+19"/>
        <n v="4.4676132235286004E+19"/>
        <n v="3.8583932385019699E+19"/>
        <n v="4.0360824008014103E+19"/>
        <n v="3.9853140687158501E+19"/>
        <n v="4.4168448914430501E+19"/>
        <n v="4.2391557291436098E+19"/>
        <n v="3.5030149139031101E+19"/>
        <n v="3.9345457366302999E+19"/>
        <n v="4.1615985273375703E+19"/>
        <n v="4.21745891025485E+19"/>
        <n v="4.3291796760894202E+19"/>
        <n v="4.5526212077585498E+19"/>
        <n v="3.9381569956684399E+19"/>
        <n v="4.7202023565103997E+19"/>
        <n v="4.5805513992171897E+19"/>
        <n v="4.3571098675480601E+19"/>
        <n v="4.1336683358789296E+19"/>
        <n v="3.8543664212925096E+19"/>
        <n v="3.8264362298338697E+19"/>
        <n v="4.3581703058661704E+19"/>
        <n v="3.8609293984854696E+19"/>
        <n v="3.8901788636255101E+19"/>
        <n v="3.7146820727852597E+19"/>
        <n v="4.03642618932572E+19"/>
        <n v="4.5921660269865099E+19"/>
        <n v="4.3874197710062199E+19"/>
        <n v="3.8024304682053902E+19"/>
        <n v="4.2704219104460497E+19"/>
        <n v="4.73841335268671E+19"/>
        <n v="4.0071767241856803E+19"/>
        <n v="4.1912019832557199E+19"/>
        <n v="4.2201068245195497E+19"/>
        <n v="3.9310584118812303E+19"/>
        <n v="4.48025039589405E+19"/>
        <n v="4.5669649196855402E+19"/>
        <n v="4.1622971419918901E+19"/>
        <n v="3.98886809440889E+19"/>
        <n v="4.2490116657833804E+19"/>
        <n v="4.7403939672685396E+19"/>
        <n v="5.0294423799068598E+19"/>
        <n v="4.7114891260047098E+19"/>
        <n v="4.3357261895748796E+19"/>
        <n v="4.0466777769365602E+19"/>
        <n v="4.36913616410392E+19"/>
        <n v="3.8568926138296697E+19"/>
        <n v="4.6101919524682703E+19"/>
        <n v="4.2486082699217404E+19"/>
        <n v="3.8267606402841199E+19"/>
        <n v="4.5197960318316397E+19"/>
        <n v="4.7909837937415397E+19"/>
        <n v="4.6704558995593601E+19"/>
        <n v="4.7005878731049099E+19"/>
        <n v="3.9171565609207497E+19"/>
        <n v="3.58570485191977E+19"/>
        <n v="4.8813797143781704E+19"/>
        <n v="4.3088722170128302E+19"/>
        <n v="4.1280803757395698E+19"/>
        <n v="4.3162133913636102E+19"/>
        <n v="4.8595129790877098E+19"/>
        <n v="4.2558467705053798E+19"/>
        <n v="4.5274965643674296E+19"/>
        <n v="4.8896962895168201E+19"/>
        <n v="3.9841969766433399E+19"/>
        <n v="4.4067633226509599E+19"/>
        <n v="4.1351135287889199E+19"/>
        <n v="4.4973132539383103E+19"/>
        <n v="3.8634637349268701E+19"/>
        <n v="4.2860300809344999E+19"/>
        <n v="4.1652968392180302E+19"/>
        <n v="4.1049302183597998E+19"/>
        <n v="4.2839445354340196E+19"/>
        <n v="4.3141131589229904E+19"/>
        <n v="4.0727641710112203E+19"/>
        <n v="4.6761366407906599E+19"/>
        <n v="4.6157993938127102E+19"/>
        <n v="4.91748562870243E+19"/>
        <n v="4.40461902938991E+19"/>
        <n v="4.8571483817244901E+19"/>
        <n v="5.2493404870811197E+19"/>
        <n v="4.3744504059009401E+19"/>
        <n v="4.7567250844293603E+19"/>
        <n v="4.6933020833036403E+19"/>
        <n v="4.2493410754235597E+19"/>
        <n v="4.7250135838664999E+19"/>
        <n v="4.6298790821779104E+19"/>
        <n v="4.66159058274077E+19"/>
        <n v="4.4078985782378701E+19"/>
        <n v="4.3127640765492904E+19"/>
        <n v="4.9787055883693998E+19"/>
        <n v="4.5030330799264596E+19"/>
        <n v="4.4396100788007404E+19"/>
        <n v="5.0104170889322602E+19"/>
        <n v="4.4809649515031699E+19"/>
        <n v="4.7034242044146803E+19"/>
        <n v="4.1949459120455197E+19"/>
        <n v="4.9894432438723297E+19"/>
        <n v="4.7987638842338902E+19"/>
        <n v="4.2902855918647402E+19"/>
        <n v="3.8771469793148002E+19"/>
        <n v="4.6080845245954597E+19"/>
        <n v="4.3856252716839502E+19"/>
        <n v="4.7352040976877502E+19"/>
        <n v="4.83054377750697E+19"/>
        <n v="4.1631660187724497E+19"/>
        <n v="5.1161359684696203E+19"/>
        <n v="4.2318655541662302E+19"/>
        <n v="3.66340600211405E+19"/>
        <n v="5.14771705469474E+19"/>
        <n v="4.5160953301923201E+19"/>
        <n v="4.7687440199932903E+19"/>
        <n v="4.32660881284159E+19"/>
        <n v="4.4213520715169604E+19"/>
        <n v="5.4003657444957102E+19"/>
        <n v="5.8109198654222901E+19"/>
        <n v="4.80032510621841E+19"/>
        <n v="4.39780007112047E+19"/>
        <n v="4.2978500695040901E+19"/>
        <n v="5.0308167480241701E+19"/>
        <n v="4.2312167350931702E+19"/>
        <n v="5.0641334152296301E+19"/>
        <n v="4.9975000808187101E+19"/>
        <n v="4.1645834006822601E+19"/>
        <n v="4.3311667367095501E+19"/>
        <n v="5.26403341846238E+19"/>
        <n v="5.5638834233115001E+19"/>
        <n v="4.9641834136132502E+19"/>
        <n v="4.8642334119968801E+19"/>
        <n v="5.0993232042902897E+19"/>
        <n v="5.43261230260992E+19"/>
        <n v="5.3659544829459898E+19"/>
        <n v="5.5659279419377697E+19"/>
        <n v="5.2659677534501003E+19"/>
        <n v="4.6660473764747698E+19"/>
        <n v="5.4992701222738403E+19"/>
        <n v="5.4659412124418802E+19"/>
        <n v="5.7992303107614999E+19"/>
        <n v="5.3326255731140297E+19"/>
        <n v="4.3386260576385499E+19"/>
        <n v="5.5994233735335199E+19"/>
        <n v="4.8577778935952998E+19"/>
        <n v="4.4127906056323703E+19"/>
        <n v="5.71067019552425E+19"/>
        <n v="5.9331638395057103E+19"/>
        <n v="5.8219170175149801E+19"/>
        <n v="5.8589992915118899E+19"/>
        <n v="4.5982019756169298E+19"/>
        <n v="5.4510942775458701E+19"/>
        <n v="5.3027651815582302E+19"/>
        <n v="6.22466266247289E+19"/>
        <n v="5.3775192232014299E+19"/>
        <n v="4.7882020480560701E+19"/>
        <n v="4.89869901839582E+19"/>
        <n v="6.0036687217933804E+19"/>
        <n v="6.5193212500455703E+19"/>
        <n v="5.30385457630826E+19"/>
        <n v="5.1933576059685102E+19"/>
        <n v="6.66665054383191E+19"/>
        <n v="6.0773333686865502E+19"/>
        <n v="5.6010016168590598E+19"/>
        <n v="6.4293187573804704E+19"/>
        <n v="6.8631991643202503E+19"/>
        <n v="5.9954383504406798E+19"/>
        <n v="5.6404452902172197E+19"/>
        <n v="6.2321003905896604E+19"/>
        <n v="6.7843118176039297E+19"/>
        <n v="6.5870934508131197E+19"/>
        <n v="7.4548542646926901E+19"/>
        <n v="7.0209738577529004E+19"/>
        <n v="6.0348820237988397E+19"/>
        <n v="6.9389601656905499E+19"/>
        <n v="5.8125055933381804E+19"/>
        <n v="7.3895419946314908E+19"/>
        <n v="6.3532037880673198E+19"/>
        <n v="6.5334365196436996E+19"/>
        <n v="6.5784947025377903E+19"/>
        <n v="7.2994256288432996E+19"/>
        <n v="5.9927383249145602E+19"/>
        <n v="5.4520401301854298E+19"/>
        <n v="5.3168655815031497E+19"/>
        <n v="7.97529837225472E+19"/>
        <n v="6.7136692512200704E+19"/>
        <n v="7.1191928972669297E+19"/>
        <n v="6.4075122463396504E+19"/>
        <n v="6.2282811345539203E+19"/>
        <n v="6.7211666919646601E+19"/>
        <n v="7.4380911391075598E+19"/>
        <n v="6.8107822478575297E+19"/>
        <n v="7.8413611406254408E+19"/>
        <n v="7.5277066950004294E+19"/>
        <n v="6.3627044683932197E+19"/>
        <n v="7.6621300288397197E+19"/>
        <n v="7.57251447294686E+19"/>
        <n v="7.7517455847325794E+19"/>
        <n v="7.4828989170539905E+19"/>
        <n v="7.0981530881164501E+19"/>
        <n v="7.9916269034038395E+19"/>
        <n v="7.5945274299427799E+19"/>
        <n v="7.0485156539338203E+19"/>
        <n v="7.2967028248469799E+19"/>
        <n v="7.4952525615775105E+19"/>
        <n v="6.6017787462901301E+19"/>
        <n v="7.7930771666733105E+19"/>
        <n v="7.5448899957601403E+19"/>
        <n v="6.3535915753769599E+19"/>
        <n v="6.2543167070117003E+19"/>
        <n v="8.2514504790375694E+19"/>
        <n v="7.7452265232683893E+19"/>
        <n v="6.8846457984607904E+19"/>
        <n v="7.1377577763453796E+19"/>
        <n v="8.0995832923068203E+19"/>
        <n v="7.8464713144222302E+19"/>
        <n v="6.93526819403771E+19"/>
        <n v="6.8340234028838797E+19"/>
        <n v="7.6439817321145598E+19"/>
        <n v="8.3526952701914104E+19"/>
        <n v="8.4033176657683202E+19"/>
        <n v="7.6573476779946295E+19"/>
        <n v="7.9786349931552506E+19"/>
        <n v="8.7818532810567795E+19"/>
        <n v="7.2825124769739203E+19"/>
        <n v="8.83540116691688E+19"/>
        <n v="8.4605659658961699E+19"/>
        <n v="8.0321828790153495E+19"/>
        <n v="9.4779757972381106E+19"/>
        <n v="7.8179913355749392E+19"/>
        <n v="9.7457152265386197E+19"/>
        <n v="9.8528109982588305E+19"/>
        <n v="9.1618125626059997E+19"/>
        <n v="8.6889448174392394E+19"/>
        <n v="9.6346803077727601E+19"/>
        <n v="8.7480532855850893E+19"/>
        <n v="1.0284873457377E+20"/>
        <n v="8.9253786900226195E+19"/>
        <n v="9.8120057122103001E+19"/>
        <n v="6.7383653686263497E+19"/>
        <n v="9.2800294988976898E+19"/>
        <n v="9.2209210307518497E+19"/>
        <n v="1.0107548052939501E+20"/>
        <n v="8.3726816318447403E+19"/>
        <n v="1.00852756019948E+20"/>
        <n v="8.6263992570521502E+19"/>
        <n v="8.2458228192410305E+19"/>
        <n v="9.0704051011651305E+19"/>
        <n v="9.3875521326743994E+19"/>
        <n v="9.3241227263725502E+19"/>
        <n v="1.00218461956929E+20"/>
        <n v="9.4509815389762601E+19"/>
        <n v="9.8315579767873798E+19"/>
        <n v="1.02755638209003E+20"/>
        <n v="8.75325806965586E+19"/>
        <n v="1.0087517608460901E+20"/>
        <n v="8.6002553969570808E+19"/>
        <n v="9.1822275666759795E+19"/>
        <n v="8.7295825457835E+19"/>
        <n v="9.8935268852213006E+19"/>
        <n v="9.2468911410891899E+19"/>
        <n v="9.6995361619816694E+19"/>
        <n v="1.03461719061137E+20"/>
        <n v="9.4408818643288195E+19"/>
        <n v="1.0281508331700499E+20"/>
        <n v="1.09281440758326E+20"/>
        <n v="1.08634805014194E+20"/>
        <n v="9.0520752858841596E+19"/>
        <n v="9.3923788680602599E+19"/>
        <n v="9.5285003009307001E+19"/>
        <n v="7.8269823900502196E+19"/>
        <n v="9.1201360023193797E+19"/>
        <n v="8.9840145694489395E+19"/>
        <n v="8.8478931365785092E+19"/>
        <n v="9.8007431666715705E+19"/>
        <n v="9.1881967187545997E+19"/>
        <n v="8.0936306116133208E+19"/>
        <n v="9.1053344380649898E+19"/>
        <n v="1.0496427199436E+20"/>
        <n v="9.5479548621375996E+19"/>
        <n v="8.5362510356859306E+19"/>
        <n v="1.06861216668957E+20"/>
        <n v="9.9905752862101996E+19"/>
        <n v="9.3582603946779099E+19"/>
        <n v="9.7376493295972794E+19"/>
        <n v="8.8524084814520795E+19"/>
        <n v="9.2950289055246795E+19"/>
        <n v="8.9788714597585306E+19"/>
        <n v="8.6627140139923898E+19"/>
        <n v="8.5127203653075698E+19"/>
        <n v="1.11568229030167E+20"/>
        <n v="8.4482300595097797E+19"/>
        <n v="8.06128822472308E+19"/>
        <n v="7.8678173073297195E+19"/>
        <n v="8.9641525058920595E+19"/>
        <n v="1.0511919845038799E+20"/>
        <n v="8.7706815884987105E+19"/>
        <n v="8.1257785305208603E+19"/>
        <n v="9.3510943406787707E+19"/>
        <n v="1.01894683160499E+20"/>
        <n v="1.0769881068230001E+20"/>
        <n v="9.2816137377160495E+19"/>
        <n v="9.9217250299723301E+19"/>
        <n v="9.4736471253929296E+19"/>
        <n v="8.4494690577828905E+19"/>
        <n v="8.5134801870085095E+19"/>
        <n v="9.7296916422954402E+19"/>
        <n v="9.6656805130698195E+19"/>
        <n v="7.9373800239778595E+19"/>
        <n v="1.0049747288423499E+20"/>
        <n v="9.0255692208135406E+19"/>
        <n v="8.5774913162341401E+19"/>
        <n v="1.00413778963632E+20"/>
        <n v="1.1328734036922501E+20"/>
        <n v="1.08781593877268E+20"/>
        <n v="9.2045964049996005E+19"/>
        <n v="8.0459758784961593E+19"/>
        <n v="8.2390792995800695E+19"/>
        <n v="1.07494237736708E+20"/>
        <n v="9.3333320190555406E+19"/>
        <n v="9.5908032471674192E+19"/>
        <n v="9.9770100893352395E+19"/>
        <n v="1.06850559666429E+20"/>
        <n v="1.11999984228666E+20"/>
        <n v="9.6717718312380695E+19"/>
        <n v="1.1592407372193101E+20"/>
        <n v="1.15238132457304E+20"/>
        <n v="1.1180842613416999E+20"/>
        <n v="9.2602070724619895E+19"/>
        <n v="1.2072566257431899E+20"/>
        <n v="9.7403659577007505E+19"/>
        <n v="1.07692778546409E+20"/>
        <n v="1.02205248429395E+20"/>
        <n v="1.03577130958648E+20"/>
        <n v="9.8089600841634398E+19"/>
        <n v="9.9461483370888004E+19"/>
        <n v="1.1091511936618299E+20"/>
        <n v="1.16791417080948E+20"/>
        <n v="9.6958912293617598E+19"/>
        <n v="1.1018058215183801E+20"/>
        <n v="1.11649656580529E+20"/>
        <n v="1.12384193794875E+20"/>
        <n v="1.1458780543791101E+20"/>
        <n v="1.20464103152676E+20"/>
        <n v="1.05038821651419E+20"/>
        <n v="9.4755300650580804E+19"/>
        <n v="1.0917300064510199E+20"/>
        <n v="1.23011831712791E+20"/>
        <n v="1.1993653591997201E+20"/>
        <n v="1.1071064854151201E+20"/>
        <n v="1.16092416178947E+20"/>
        <n v="1.0994182459330699E+20"/>
        <n v="1.13785944334332E+20"/>
        <n v="1.0148476116305301E+20"/>
        <n v="1.22243007764586E+20"/>
        <n v="1.03791233007668E+20"/>
        <n v="1.06866528800487E+20"/>
        <n v="1.17630064075357E+20"/>
        <n v="9.3796521681003807E+19"/>
        <n v="1.1437927273242899E+20"/>
        <n v="1.09742275189223E+20"/>
        <n v="1.0896944226535499E+20"/>
        <n v="1.04332444722148E+20"/>
        <n v="1.21334769047239E+20"/>
        <n v="1.15924938580165E+20"/>
        <n v="9.7376948407338697E+19"/>
        <n v="1.19016270275636E+20"/>
        <n v="1.1085964457006699E+20"/>
        <n v="1.0470077542728601E+20"/>
        <n v="1.1316922049861E+20"/>
        <n v="1.21637665569935E+20"/>
        <n v="1.0701035135582899E+20"/>
        <n v="1.3626497978404101E+20"/>
        <n v="1.1470893778430601E+20"/>
        <n v="1.17788372355697E+20"/>
        <n v="1.2856639335556401E+20"/>
        <n v="1.25486958784174E+20"/>
        <n v="1.19328089641392E+20"/>
        <n v="1.2086780692708699E+20"/>
        <n v="1.2342754703626301E+20"/>
        <n v="1.0861624139191199E+20"/>
        <n v="9.7919187315435897E+19"/>
        <n v="1.24250397349838E+20"/>
        <n v="1.02856289196886E+20"/>
        <n v="1.05324840137611E+20"/>
        <n v="1.01210588569736E+20"/>
        <n v="8.2285031357509206E+19"/>
        <n v="8.8044983552534807E+19"/>
        <n v="8.9690684179684999E+19"/>
        <n v="1.0203343888331099E+20"/>
        <n v="1.04501989824036E+20"/>
        <n v="9.2159235120410296E+19"/>
        <n v="7.5702228848908403E+19"/>
        <n v="1.1065525147228901E+20"/>
        <n v="1.0719727486378E+20"/>
        <n v="9.3365368429743997E+19"/>
        <n v="1.0443089357697199E+20"/>
        <n v="1.01664512290165E+20"/>
        <n v="1.09963656150587E+20"/>
        <n v="1.0581408422037601E+20"/>
        <n v="9.1290582464638599E+19"/>
        <n v="1.08580465507183E+20"/>
        <n v="1.2102918129781599E+20"/>
        <n v="8.8524201177831293E+19"/>
        <n v="1.16188014045903E+20"/>
        <n v="1.05335605240265E+20"/>
        <n v="1.12650577826394E+20"/>
        <n v="1.19234053153911E+20"/>
        <n v="1.16308064119459E+20"/>
        <n v="1.11919080567781E+20"/>
        <n v="1.25086031222815E+20"/>
        <n v="1.22891539446976E+20"/>
        <n v="1.23623036705589E+20"/>
        <n v="9.2900151843844997E+19"/>
        <n v="1.1557656686084601E+20"/>
        <n v="1.11187583309168E+20"/>
        <n v="1.17771058636685E+20"/>
        <n v="1.1820302761669299E+20"/>
        <n v="1.0392346723346801E+20"/>
        <n v="1.12649865245439E+20"/>
        <n v="1.14236483065797E+20"/>
        <n v="1.07890011784364E+20"/>
        <n v="1.0868332069454301E+20"/>
        <n v="1.1185655633525999E+20"/>
        <n v="1.22169572167589E+20"/>
        <n v="1.1502979197597599E+20"/>
        <n v="1.0709670287418501E+20"/>
        <n v="1.17409718706514E+20"/>
        <n v="1.3327589691009701E+20"/>
        <n v="1.25342807808305E+20"/>
        <n v="1.2649074294535301E+20"/>
        <n v="1.2328844565559701E+20"/>
        <n v="1.17684425398524E+20"/>
        <n v="1.0967868217413499E+20"/>
        <n v="1.08878107851696E+20"/>
        <n v="1.3609763481461999E+20"/>
        <n v="1.2569016862291399E+20"/>
        <n v="1.1688385107608501E+20"/>
        <n v="9.5268344370234196E+19"/>
        <n v="9.1265472758039495E+19"/>
        <n v="1.0007179030486699E+20"/>
        <n v="1.00872364627306E+20"/>
        <n v="8.1658580888772198E+19"/>
        <n v="1.02473513272184E+20"/>
        <n v="9.2066047080478392E+19"/>
        <n v="8.6539364319910593E+19"/>
        <n v="9.8579623703550394E+19"/>
        <n v="8.3529299474000708E+19"/>
        <n v="8.9549429165820592E+19"/>
        <n v="8.7291880531388105E+19"/>
        <n v="9.4064526434685501E+19"/>
        <n v="9.3312010223208006E+19"/>
        <n v="1.03847237183892E+20"/>
        <n v="9.5569558857640395E+19"/>
        <n v="1.17392528990487E+20"/>
        <n v="1.12877431721622E+20"/>
        <n v="1.00837172337982E+20"/>
        <n v="9.7074591280595403E+19"/>
        <n v="1.0459975339537E+20"/>
        <n v="1.0307847780171601E+20"/>
        <n v="1.2219236772521301E+20"/>
        <n v="1.3379722946448001E+20"/>
        <n v="1.0853958920843E+20"/>
        <n v="1.1058750598594699E+20"/>
        <n v="1.0922222813426899E+20"/>
        <n v="1.1195278383762601E+20"/>
        <n v="1.26288201280249E+20"/>
        <n v="1.11270144911787E+20"/>
        <n v="1.0785695028259099E+20"/>
        <n v="1.16048617392661E+20"/>
        <n v="9.4204171765807301E+19"/>
        <n v="1.02395838875877E+20"/>
        <n v="1.08283617573485E+20"/>
        <n v="9.6513659141585207E+19"/>
        <n v="1.12206937050786E+20"/>
        <n v="1.07498953678025E+20"/>
        <n v="1.14560928737166E+20"/>
        <n v="1.23976895482686E+20"/>
        <n v="1.0906828146894501E+20"/>
        <n v="1.10637609259866E+20"/>
        <n v="1.28684878855447E+20"/>
        <n v="1.17699584319006E+20"/>
        <n v="1.13776264841706E+20"/>
        <n v="1.15345592632626E+20"/>
        <n v="1.2711130903923099E+20"/>
        <n v="1.28680584459469E+20"/>
        <n v="1.2789594674935E+20"/>
        <n v="1.2318812048863801E+20"/>
        <n v="1.2083420735828201E+20"/>
        <n v="1.26326671329113E+20"/>
        <n v="1.1848029422792499E+20"/>
        <n v="1.2240348277851899E+20"/>
        <n v="1.19264931938044E+20"/>
        <n v="1.26753953928877E+20"/>
        <n v="1.2416713854257399E+20"/>
        <n v="1.18993507769967E+20"/>
        <n v="1.1726896417909699E+20"/>
        <n v="1.01748071861276E+20"/>
        <n v="1.1209533340649E+20"/>
        <n v="1.12957605201925E+20"/>
        <n v="1.2158032315627001E+20"/>
        <n v="1.0778397442931701E+20"/>
        <n v="1.3882575906496101E+20"/>
        <n v="1.22442594951705E+20"/>
        <n v="1.36238943678657E+20"/>
        <n v="1.2847849751974601E+20"/>
        <n v="1.21437040395234E+20"/>
        <n v="1.2394953088617E+20"/>
        <n v="1.1306207209211399E+20"/>
        <n v="1.2813701503773E+20"/>
        <n v="1.14737065752738E+20"/>
        <n v="1.1808705307398599E+20"/>
        <n v="1.35674486510537E+20"/>
        <n v="1.0803709111024299E+20"/>
        <n v="1.30649505528665E+20"/>
        <n v="1.2729951820741801E+20"/>
        <n v="1.18924549904298E+20"/>
        <n v="1.29741892842123E+20"/>
        <n v="1.3226933231307299E+20"/>
        <n v="1.2384453407657199E+20"/>
        <n v="1.4069413054957499E+20"/>
        <n v="1.31426852489423E+20"/>
        <n v="1.2805693319482299E+20"/>
        <n v="1.05309977956269E+20"/>
        <n v="1.17947175311021E+20"/>
        <n v="1.1626221566372101E+20"/>
        <n v="1.23002054252922E+20"/>
        <n v="1.30584372665773E+20"/>
        <n v="1.1457725601642E+20"/>
        <n v="1.3004907262206499E+20"/>
        <n v="1.11720008695465E+20"/>
        <n v="1.2393938464653201E+20"/>
        <n v="1.1259282126339899E+20"/>
        <n v="1.42268448573132E+20"/>
        <n v="1.27430634918265E+20"/>
        <n v="1.1084719612753201E+20"/>
        <n v="1.30921885189998E+20"/>
        <n v="1.3441313546173201E+20"/>
        <n v="1.2568500978239799E+20"/>
        <n v="1.17829696670998E+20"/>
        <n v="1.23066572078598E+20"/>
        <n v="1.50897989887347E+20"/>
        <n v="1.3365250532879299E+20"/>
        <n v="1.28478859961227E+20"/>
        <n v="1.36239328012576E+20"/>
        <n v="1.1899384345402199E+20"/>
        <n v="1.46586618747708E+20"/>
        <n v="1.3968842492428699E+20"/>
        <n v="1.5176026411527501E+20"/>
        <n v="1.34514779556721E+20"/>
        <n v="1.5348481257113E+20"/>
        <n v="1.4227524760807E+20"/>
        <n v="1.36339422426486E+20"/>
        <n v="1.3921983275944E+20"/>
        <n v="1.23857644317019E+20"/>
        <n v="1.3153873853823001E+20"/>
        <n v="1.6226311542307199E+20"/>
        <n v="1.4402051664769701E+20"/>
        <n v="1.45940790202999E+20"/>
        <n v="1.35379285648835E+20"/>
        <n v="1.4978133731360499E+20"/>
        <n v="1.19056960428763E+20"/>
        <n v="1.3057860176057799E+20"/>
        <n v="1.44980653425348E+20"/>
        <n v="1.5157147254370301E+20"/>
        <n v="1.3430383643113E+20"/>
        <n v="1.24710705257477E+20"/>
        <n v="1.44856280722147E+20"/>
        <n v="1.55408725013164E+20"/>
        <n v="1.3622246266586001E+20"/>
        <n v="1.37181775783225E+20"/>
        <n v="1.42937654487417E+20"/>
        <n v="1.5924597748262499E+20"/>
        <n v="1.4869353319160801E+20"/>
        <n v="1.50612159426338E+20"/>
        <n v="1.1928875569898499E+20"/>
        <n v="1.2425912051977599E+20"/>
        <n v="1.43146506838782E+20"/>
        <n v="1.2922948534056699E+20"/>
        <n v="1.3618799608967501E+20"/>
        <n v="1.3022355830472601E+20"/>
        <n v="1.5109909055204799E+20"/>
        <n v="1.16306536806511E+20"/>
        <n v="1.0934802605740301E+20"/>
        <n v="9.8413223451663106E+19"/>
        <n v="9.94072964158213E+19"/>
        <n v="1.07359880129087E+20"/>
        <n v="1.10342099021561E+20"/>
        <n v="1.12330244949878E+20"/>
        <n v="9.4436931595030299E+19"/>
        <n v="1.16833507124957E+20"/>
        <n v="1.32689483091915E+20"/>
        <n v="1.22675182481205E+20"/>
        <n v="1.2768233278656001E+20"/>
        <n v="1.2184065743031199E+20"/>
        <n v="1.15164457023172E+20"/>
        <n v="1.5438713441512099E+20"/>
        <n v="1.3352400814280801E+20"/>
        <n v="1.1599898207406399E+20"/>
        <n v="1.1850255722674201E+20"/>
        <n v="1.25178757633882E+20"/>
        <n v="1.3733445087056799E+20"/>
        <n v="1.47831351574051E+20"/>
        <n v="1.19839616364763E+20"/>
        <n v="1.4695660984876101E+20"/>
        <n v="1.5220506020050298E+20"/>
        <n v="1.28587033617666E+20"/>
        <n v="1.18964874639473E+20"/>
        <n v="1.35584967419988E+20"/>
        <n v="1.31211258793537E+20"/>
        <n v="1.34710225694698E+20"/>
        <n v="1.07610727917311E+20"/>
        <n v="1.44750713658684E+20"/>
        <n v="1.2475225979794501E+20"/>
        <n v="1.4951225029219398E+20"/>
        <n v="1.37132255045069E+20"/>
        <n v="1.29513796431454E+20"/>
        <n v="1.4284609900528099E+20"/>
        <n v="1.3237071841155999E+20"/>
        <n v="1.23799952471243E+20"/>
        <n v="1.31418411084858E+20"/>
        <n v="1.25704567124647E+20"/>
        <n v="1.4855994296549199E+20"/>
        <n v="1.34574371394958E+20"/>
        <n v="1.29933875829614E+20"/>
        <n v="1.3271817316881999E+20"/>
        <n v="1.19724785585859E+20"/>
        <n v="1.45711560751782E+20"/>
        <n v="1.4663965986485101E+20"/>
        <n v="1.4014296607337E+20"/>
        <n v="1.2622147937734001E+20"/>
        <n v="1.4292726341257599E+20"/>
        <n v="1.1694048824665299E+20"/>
        <n v="1.33646272281889E+20"/>
        <n v="1.2714957849040799E+20"/>
        <n v="1.3735866873416399E+20"/>
        <n v="1.4793452566917598E+20"/>
        <n v="1.40537799385717E+20"/>
        <n v="1.5902961509436401E+20"/>
        <n v="1.5348207038177001E+20"/>
        <n v="1.3776402702942E+20"/>
        <n v="1.39613208600285E+20"/>
        <n v="1.46085344098311E+20"/>
        <n v="1.5995420587979601E+20"/>
        <n v="1.45160753312879E+20"/>
        <n v="1.6365256902152602E+20"/>
        <n v="1.5533125195263499E+20"/>
        <n v="1.36839436243988E+20"/>
        <n v="1.2851811917509599E+20"/>
        <n v="1.6287965092477E+20"/>
        <n v="1.5775764932336199E+20"/>
        <n v="1.51611247401673E+20"/>
        <n v="1.5570884868279901E+20"/>
        <n v="1.50586847081391E+20"/>
        <n v="1.5878204964364399E+20"/>
        <n v="1.3624524259744901E+20"/>
        <n v="1.4853804644082801E+20"/>
        <n v="1.5263564772195398E+20"/>
        <n v="1.44440445159702E+20"/>
        <n v="1.32147641316323E+20"/>
        <n v="1.6148236230563299E+20"/>
        <n v="1.43884925387711E+20"/>
        <n v="1.44920068735824E+20"/>
        <n v="1.66658079046198E+20"/>
        <n v="1.46990355432051E+20"/>
        <n v="1.5009578547638999E+20"/>
        <n v="1.57341788913181E+20"/>
        <n v="1.4077949534337199E+20"/>
        <n v="1.4906064212827701E+20"/>
        <n v="1.23182058425451E+20"/>
        <n v="1.5837693226129401E+20"/>
        <n v="1.55271502216955E+20"/>
        <n v="1.6562293569808499E+20"/>
        <n v="1.7493922583110199E+20"/>
        <n v="1.6941602681131699E+20"/>
        <n v="1.6621949800355601E+20"/>
        <n v="1.72612555619077E+20"/>
        <n v="1.52367873169926E+20"/>
        <n v="1.3745073873371E+20"/>
        <n v="1.5130236356733901E+20"/>
        <n v="1.6728500760614299E+20"/>
        <n v="1.5769542118286098E+20"/>
        <n v="1.61957459593208E+20"/>
        <n v="1.2892666191301399E+20"/>
        <n v="1.4704032515699199E+20"/>
        <n v="1.4597481555440501E+20"/>
        <n v="1.6302296919579499E+20"/>
        <n v="1.5766724008936201E+20"/>
        <n v="1.5226767707260299E+20"/>
        <n v="1.43628376245788E+20"/>
        <n v="1.3714890062567799E+20"/>
        <n v="1.7170610393293501E+20"/>
        <n v="1.6846636612288001E+20"/>
        <n v="1.5010785186589901E+20"/>
        <n v="1.6954627872623201E+20"/>
        <n v="1.41468551039085E+20"/>
        <n v="1.40388638435733E+20"/>
        <n v="1.5442750227930599E+20"/>
        <n v="1.64146715709473E+20"/>
        <n v="1.3822881322903E+20"/>
        <n v="1.6090697789941701E+20"/>
        <n v="1.6206234993020699E+20"/>
        <n v="1.55665151906646E+20"/>
        <n v="1.6526094894198699E+20"/>
        <n v="1.4926795388308501E+20"/>
        <n v="1.58863750918426E+20"/>
        <n v="1.40738356518337E+20"/>
        <n v="1.5992995058902001E+20"/>
        <n v="1.5246655289486501E+20"/>
        <n v="1.6739334828317399E+20"/>
        <n v="1.5779755124783301E+20"/>
        <n v="1.45003155200711E+20"/>
        <n v="1.6738918904398499E+20"/>
        <n v="1.6956307461598501E+20"/>
        <n v="1.6412836068598599E+20"/>
        <n v="1.7499778854598499E+20"/>
        <n v="1.65215303471985E+20"/>
        <n v="1.4782421889598702E+20"/>
        <n v="1.72823902973985E+20"/>
        <n v="1.5869364675598601E+20"/>
        <n v="1.7065001740198501E+20"/>
        <n v="1.5760670396998599E+20"/>
        <n v="1.6102357101034501E+20"/>
        <n v="1.50672055731109E+20"/>
        <n v="1.6792458119650299E+20"/>
        <n v="1.79426264840099E+20"/>
        <n v="1.6562424446778399E+20"/>
        <n v="1.8057643320445901E+20"/>
        <n v="1.5412256082418801E+20"/>
        <n v="1.7482559138266101E+20"/>
        <n v="1.6677441283214302E+20"/>
        <n v="1.6332390773906499E+20"/>
        <n v="1.55272729188547E+20"/>
        <n v="1.97828958669853E+20"/>
        <n v="1.20743465564441E+20"/>
        <n v="1.0667626569285599E+20"/>
        <n v="1.4536106533971599E+20"/>
        <n v="1.13709865628648E+20"/>
        <n v="1.5005013196357701E+20"/>
        <n v="1.1839893225251E+20"/>
        <n v="1.67634131803059E+20"/>
        <n v="1.5825599855533602E+20"/>
        <n v="1.6997866511498999E+20"/>
        <n v="1.65289598491128E+20"/>
        <n v="1.3363839878006101E+20"/>
        <n v="1.6646186514709401E+20"/>
        <n v="1.43016532027785E+20"/>
        <n v="1.6294506517919701E+20"/>
        <n v="1.8952718650028101E+20"/>
        <n v="1.81331416273242E+20"/>
        <n v="1.8542930138676101E+20"/>
        <n v="1.6084199070564401E+20"/>
        <n v="1.7416011732458199E+20"/>
        <n v="1.7620905988134201E+20"/>
        <n v="1.7518458860296199E+20"/>
        <n v="1.90551657778661E+20"/>
        <n v="1.8440483010838099E+20"/>
        <n v="2.0045589187189201E+20"/>
        <n v="1.6683906528467999E+20"/>
        <n v="1.5314332111952E+20"/>
        <n v="1.64348929981923E+20"/>
        <n v="1.5065318581676301E+20"/>
        <n v="1.2450676513782101E+20"/>
        <n v="1.5563345642227601E+20"/>
        <n v="1.3944757695435901E+20"/>
        <n v="1.36957441651603E+20"/>
        <n v="1.44427847559872E+20"/>
        <n v="1.48163050514007E+20"/>
        <n v="1.5687852407365399E+20"/>
        <n v="1.5189825346814099E+20"/>
        <n v="1.4567291521125001E+20"/>
        <n v="1.5066552410616401E+20"/>
        <n v="1.4752665902061901E+20"/>
        <n v="1.48572947382467E+20"/>
        <n v="1.7368386806682799E+20"/>
        <n v="1.53804389191709E+20"/>
        <n v="1.3706377540213499E+20"/>
        <n v="1.5694325427725399E+20"/>
        <n v="1.39156352125832E+20"/>
        <n v="1.5589696591540601E+20"/>
        <n v="1.31832333592894E+20"/>
        <n v="1.2346202669810699E+20"/>
        <n v="1.09860277994078E+20"/>
        <n v="1.3811006376398401E+20"/>
        <n v="1.3376669621889901E+20"/>
        <n v="1.2980323855315399E+20"/>
        <n v="1.2187632322166401E+20"/>
        <n v="1.28812374136718E+20"/>
        <n v="1.228671876381E+20"/>
        <n v="1.02059034892938E+20"/>
        <n v="1.0404076372581001E+20"/>
        <n v="9.0168661895702594E+19"/>
        <n v="1.00077306060065E+20"/>
        <n v="1.08995085807992E+20"/>
        <n v="8.8186933062829998E+19"/>
        <n v="5.74701361533049E+19"/>
        <n v="8.7196068646393692E+19"/>
        <n v="8.9177797479266304E+19"/>
        <n v="9.5122983977884107E+19"/>
        <n v="9.0676714624736002E+19"/>
        <n v="8.21088360775168E+19"/>
        <n v="9.42466640194106E+19"/>
        <n v="1.0138656280875899E+20"/>
        <n v="8.7820755108996301E+19"/>
        <n v="9.9244593171955106E+19"/>
        <n v="9.3532674140475703E+19"/>
        <n v="1.14952370508523E+20"/>
        <n v="8.9248734866866094E+19"/>
        <n v="8.9962724745801105E+19"/>
        <n v="9.7102623535150399E+19"/>
        <n v="1.21378279418938E+20"/>
        <n v="9.1390704503670899E+19"/>
        <n v="1.07098481840239E+20"/>
        <n v="1.02100552687694E+20"/>
        <n v="9.7872242088689304E+19"/>
        <n v="1.1554361913248E+20"/>
        <n v="8.2919538436250698E+19"/>
        <n v="9.8551910436527505E+19"/>
        <n v="1.0398925721923201E+20"/>
        <n v="9.1755226958146306E+19"/>
        <n v="1.0466892556707E+20"/>
        <n v="1.0195025217571801E+20"/>
        <n v="1.0670793061058399E+20"/>
        <n v="1.0874693565409899E+20"/>
        <n v="1.1282494574112801E+20"/>
        <n v="1.13858289123422E+20"/>
        <n v="1.10975800791183E+20"/>
        <n v="1.03048957877527E+20"/>
        <n v="1.2178513203707699E+20"/>
        <n v="9.80046032961101E+19"/>
        <n v="1.1529953328954099E+20"/>
        <n v="1.14578911206481E+20"/>
        <n v="1.2034388787095799E+20"/>
        <n v="1.09534556625064E+20"/>
        <n v="1.18902643704839E+20"/>
        <n v="1.05931446209766E+20"/>
        <n v="1.0881393454200399E+20"/>
        <n v="1.0980826105889001E+20"/>
        <n v="1.2682080854688801E+20"/>
        <n v="1.4074016558252201E+20"/>
        <n v="1.24500915707615E+20"/>
        <n v="1.33007189451614E+20"/>
        <n v="1.04395177767255E+20"/>
        <n v="1.1908783241598E+20"/>
        <n v="1.2372761809452501E+20"/>
        <n v="1.31460594225432E+20"/>
        <n v="1.5233962977888299E+20"/>
        <n v="1.27844614119938E+20"/>
        <n v="1.23466373910351E+20"/>
        <n v="1.3660109453911201E+20"/>
        <n v="1.18212485658847E+20"/>
        <n v="1.26093318036103E+20"/>
        <n v="1.19963781742682E+20"/>
        <n v="1.3047155824569E+20"/>
        <n v="1.2959591020377299E+20"/>
        <n v="1.35725446497195E+20"/>
        <n v="1.43606278874451E+20"/>
        <n v="1.5061146320979001E+20"/>
        <n v="1.3397415041336001E+20"/>
        <n v="1.2998998241830401E+20"/>
        <n v="1.25412870361322E+20"/>
        <n v="1.2449744794992501E+20"/>
        <n v="1.3548251688668399E+20"/>
        <n v="1.34567094475287E+20"/>
        <n v="1.45552163412045E+20"/>
        <n v="1.5379096511461399E+20"/>
        <n v="1.41890473766459E+20"/>
        <n v="1.4646758582344199E+20"/>
        <n v="1.50129275469028E+20"/>
        <n v="1.12596956601771E+20"/>
        <n v="1.2654663384005E+20"/>
        <n v="1.55822347638867E+20"/>
        <n v="1.39767923942742E+20"/>
        <n v="1.3599041248483E+20"/>
        <n v="1.3126852316244001E+20"/>
        <n v="1.4637856899408799E+20"/>
        <n v="1.43545435400654E+20"/>
        <n v="1.22769122382138E+20"/>
        <n v="1.61488614825735E+20"/>
        <n v="1.3221290102691801E+20"/>
        <n v="1.7754303852186101E+20"/>
        <n v="1.41656679671698E+20"/>
        <n v="1.4732294685856599E+20"/>
        <n v="1.6217773583152198E+20"/>
        <n v="1.29544410938594E+20"/>
        <n v="1.39433297269784E+20"/>
        <n v="1.18666635974284E+20"/>
        <n v="1.4833329496785499E+20"/>
        <n v="1.5723329266592701E+20"/>
        <n v="1.44377740435379E+20"/>
        <n v="1.32511076837951E+20"/>
        <n v="1.6712217899711699E+20"/>
        <n v="1.3547774273730799E+20"/>
        <n v="1.31522188204832E+20"/>
        <n v="1.5822218129904599E+20"/>
        <n v="1.4635551770161699E+20"/>
        <n v="1.5473719872913202E+20"/>
        <n v="1.4874737168155299E+20"/>
        <n v="1.4774906717362301E+20"/>
        <n v="1.57732112252922E+20"/>
        <n v="1.44754153649833E+20"/>
        <n v="1.5274058971327201E+20"/>
        <n v="1.8169142044323899E+20"/>
        <n v="1.4974567618948301E+20"/>
        <n v="1.5673380774499199E+20"/>
        <n v="1.7071007085601001E+20"/>
        <n v="1.3876432660225399E+20"/>
        <n v="1.5935039700608202E+20"/>
        <n v="1.7011731572270901E+20"/>
        <n v="1.73347391337698E+20"/>
        <n v="1.5396693764776899E+20"/>
        <n v="1.66887240107721E+20"/>
        <n v="1.6581054823605898E+20"/>
        <n v="1.6473385636439599E+20"/>
        <n v="1.45353402674467E+20"/>
        <n v="1.6365716449273299E+20"/>
        <n v="1.6042708887774501E+20"/>
        <n v="1.52890245776106E+20"/>
        <n v="1.7696066950222099E+20"/>
        <n v="1.7019784136837802E+20"/>
        <n v="1.6907070334607101E+20"/>
        <n v="1.6794356532376401E+20"/>
        <n v="1.62307875212228E+20"/>
        <n v="1.5441790905607799E+20"/>
        <n v="1.6343501323453501E+20"/>
        <n v="1.48782218944543E+20"/>
        <n v="1.5892646114530699E+20"/>
        <n v="1.4652794289992801E+20"/>
        <n v="1.61180737189921E+20"/>
        <n v="1.5433331860139599E+20"/>
        <n v="1.58774565179854E+20"/>
        <n v="1.4878176037832399E+20"/>
        <n v="1.5211269531216701E+20"/>
        <n v="1.72098304915226E+20"/>
        <n v="1.8653235629521299E+20"/>
        <n v="1.8431173300598401E+20"/>
        <n v="1.9097360287367001E+20"/>
        <n v="1.70987993270612E+20"/>
        <n v="1.8098079807214099E+20"/>
        <n v="1.7320861655984E+20"/>
        <n v="1.8161589017545798E+20"/>
        <n v="1.6838559354015901E+20"/>
        <n v="1.6958834777973201E+20"/>
        <n v="1.7800762745674E+20"/>
        <n v="1.38316737550845E+20"/>
        <n v="1.79210381696313E+20"/>
        <n v="1.5395254266528901E+20"/>
        <n v="1.7319661049845E+20"/>
        <n v="1.9364343257118301E+20"/>
        <n v="1.8281864441503E+20"/>
        <n v="1.77367872712134E+20"/>
        <n v="1.6168227852670701E+20"/>
        <n v="1.78574456880244E+20"/>
        <n v="1.7495470437591499E+20"/>
        <n v="1.43583516005061E+20"/>
        <n v="1.79781041048354E+20"/>
        <n v="2.0753247691487799E+20"/>
        <n v="1.9064029856134201E+20"/>
        <n v="1.6892178353536601E+20"/>
        <n v="1.8098762521646399E+20"/>
        <n v="1.7616128854402499E+20"/>
        <n v="1.74460674018045E+20"/>
        <n v="1.70826076642669E+20"/>
        <n v="1.7203760910112699E+20"/>
        <n v="1.9142212843646599E+20"/>
        <n v="1.6840301172575099E+20"/>
        <n v="2.16864310064097E+20"/>
        <n v="1.9263366089492401E+20"/>
        <n v="2.0111438810413498E+20"/>
        <n v="2.1201818023026301E+20"/>
        <n v="1.9505672581184199E+20"/>
        <n v="1.6476841435037499E+20"/>
        <n v="2.09595115313345E+20"/>
        <n v="2.0474898547951102E+20"/>
        <n v="1.77474949667869E+20"/>
        <n v="1.8674602912813099E+20"/>
        <n v="1.9866598843418201E+20"/>
        <n v="2.0131486827997099E+20"/>
        <n v="1.7217718997629098E+20"/>
        <n v="1.7350162989918601E+20"/>
        <n v="2.0396374812576E+20"/>
        <n v="1.97341548511288E+20"/>
        <n v="1.93368228742604E+20"/>
        <n v="1.8939490897391999E+20"/>
        <n v="2.0263930820286602E+20"/>
        <n v="1.9469266866549801E+20"/>
        <n v="1.7248311711713801E+20"/>
        <n v="1.5788839182261099E+20"/>
        <n v="2.0697974054056601E+20"/>
        <n v="1.80443876368699E+20"/>
        <n v="2.0432615412337902E+20"/>
        <n v="1.8575104920307201E+20"/>
        <n v="1.9503860166322599E+20"/>
        <n v="1.88404635620259E+20"/>
        <n v="2.48110330006961E+20"/>
        <n v="2.0963332695775301E+20"/>
        <n v="2.0299936091478599E+20"/>
        <n v="2.3218881150384E+20"/>
        <n v="2.1826998682616401E+20"/>
        <n v="1.86294128883478E+20"/>
        <n v="2.07147949280882E+20"/>
        <n v="2.0019667581508098E+20"/>
        <n v="1.71001327258715E+20"/>
        <n v="2.11318713360363E+20"/>
        <n v="2.0853820397404199E+20"/>
        <n v="1.83513619497157E+20"/>
        <n v="1.7378183664503502E+20"/>
        <n v="1.8907463826979799E+20"/>
        <n v="2.1409922274668302E+20"/>
        <n v="2.2522126029196601E+20"/>
        <n v="2.0575769458772201E+20"/>
        <n v="1.90365286645501E+20"/>
        <n v="1.68452735664723E+20"/>
        <n v="1.79409011155112E+20"/>
        <n v="2.02691096572188E+20"/>
        <n v="1.8899575220920199E+20"/>
        <n v="1.9858249326329201E+20"/>
        <n v="2.1364737206257598E+20"/>
        <n v="2.0679969988108301E+20"/>
        <n v="2.0953876875367999E+20"/>
        <n v="2.1227783762627799E+20"/>
        <n v="2.1775597537147201E+20"/>
        <n v="1.9514945473662901E+20"/>
        <n v="2.1152563275648601E+20"/>
        <n v="2.1016095125483101E+20"/>
        <n v="2.0879626975317701E+20"/>
        <n v="2.03337543746558E+20"/>
        <n v="1.9787881773993899E+20"/>
        <n v="2.1289031425814099E+20"/>
        <n v="2.1971372176641501E+20"/>
        <n v="1.78773276716772E+20"/>
        <n v="2.1698435876310499E+20"/>
        <n v="2.06066906749867E+20"/>
        <n v="1.8423200272339101E+20"/>
        <n v="1.9610838061904599E+20"/>
        <n v="2.0037160628467699E+20"/>
        <n v="1.9184515495341398E+20"/>
        <n v="1.9752945584092299E+20"/>
        <n v="2.24529885056589E+20"/>
        <n v="2.06055907172186E+20"/>
        <n v="2.1316128328157099E+20"/>
        <n v="1.9042407973153699E+20"/>
        <n v="2.17424508947203E+20"/>
        <n v="1.9895053106279999E+20"/>
        <n v="1.94687305397169E+20"/>
        <n v="1.9363035285416899E+20"/>
        <n v="2.2169272283303399E+20"/>
        <n v="1.8801787885839601E+20"/>
        <n v="2.3151455232563701E+20"/>
        <n v="1.73986693868963E+20"/>
        <n v="2.2449895983092099E+20"/>
        <n v="2.3712702632141E+20"/>
        <n v="1.8942099735733898E+20"/>
        <n v="2.2870831532775001E+20"/>
        <n v="2.39933263319297E+20"/>
        <n v="2.27305196828807E+20"/>
        <n v="1.9643658985205599E+20"/>
        <n v="2.3853014482035301E+20"/>
        <n v="1.9550362058301099E+20"/>
        <n v="2.2216320520796799E+20"/>
        <n v="2.4734170179820401E+20"/>
        <n v="2.36974085555165E+20"/>
        <n v="2.16238853069088E+20"/>
        <n v="2.3253082145100598E+20"/>
        <n v="2.1031450093020899E+20"/>
        <n v="2.1179558896492901E+20"/>
        <n v="2.2956864538156601E+20"/>
        <n v="2.2660646931212701E+20"/>
        <n v="2.25257597891296E+20"/>
        <n v="2.0972259114017201E+20"/>
        <n v="2.36132102617082E+20"/>
        <n v="2.19043595190846E+20"/>
        <n v="1.89527082363711E+20"/>
        <n v="2.54774110718431E+20"/>
        <n v="2.2836459924151999E+20"/>
        <n v="2.0816909046505901E+20"/>
        <n v="1.9884808641438499E+20"/>
        <n v="2.48560108017981E+20"/>
        <n v="1.8642008101348599E+20"/>
        <n v="2.2370409721618301E+20"/>
        <n v="2.0955536985717801E+20"/>
        <n v="2.050967449666E+20"/>
        <n v="2.1995882793519399E+20"/>
        <n v="2.21445036232053E+20"/>
        <n v="2.2887607771635001E+20"/>
        <n v="2.1698641134147499E+20"/>
        <n v="2.02124328372881E+20"/>
        <n v="1.8577603710742698E+20"/>
        <n v="2.1252778645089701E+20"/>
        <n v="2.0658295326345901E+20"/>
        <n v="2.2293124452891299E+20"/>
        <n v="2.4076574409122601E+20"/>
        <n v="2.6795954238055599E+20"/>
        <n v="2.1978704037955699E+20"/>
        <n v="2.2129243106708799E+20"/>
        <n v="2.31830165879806E+20"/>
        <n v="1.91184617316464E+20"/>
        <n v="2.00216961441651E+20"/>
        <n v="2.4838946344265001E+20"/>
        <n v="1.79141491816214E+20"/>
        <n v="1.6258219425337102E+20"/>
        <n v="2.34840947254869E+20"/>
        <n v="1.9871157075411999E+20"/>
        <n v="2.25808603129682E+20"/>
        <n v="1.9419539869152598E+20"/>
        <n v="2.23431040497859E+20"/>
        <n v="1.8962239621199901E+20"/>
        <n v="2.21961099441952E+20"/>
        <n v="2.0285186571516199E+20"/>
        <n v="1.9991198360334801E+20"/>
        <n v="2.1461139416241799E+20"/>
        <n v="2.5135992056009199E+20"/>
        <n v="1.96972101491534E+20"/>
        <n v="2.2784086366558002E+20"/>
        <n v="2.1020157099469701E+20"/>
        <n v="1.73453044597022E+20"/>
        <n v="1.8668251410018501E+20"/>
        <n v="2.27523377807153E+20"/>
        <n v="2.14480636404195E+20"/>
        <n v="1.9419192755514999E+20"/>
        <n v="2.2172660385028299E+20"/>
        <n v="1.7825079917375701E+20"/>
        <n v="2.1882821687184799E+20"/>
        <n v="1.5941128381392899E+20"/>
        <n v="1.7969999266297499E+20"/>
        <n v="2.0578547546889001E+20"/>
        <n v="1.89844347087497E+20"/>
        <n v="1.9998870151202E+20"/>
        <n v="1.8259837964140999E+20"/>
        <n v="2.0143789500123801E+20"/>
        <n v="1.8171186263872501E+20"/>
        <n v="2.1199717307851299E+20"/>
        <n v="2.1612698813848401E+20"/>
        <n v="1.9547791283862802E+20"/>
        <n v="2.2025680319845499E+20"/>
        <n v="2.27139828298406E+20"/>
        <n v="1.9410130781863798E+20"/>
        <n v="2.0098433291859001E+20"/>
        <n v="1.7758204757875399E+20"/>
        <n v="2.0924396303853201E+20"/>
        <n v="1.8721828271868599E+20"/>
        <n v="2.1337377809850299E+20"/>
        <n v="1.99607727898599E+20"/>
        <n v="1.84875288434802E+20"/>
        <n v="2.1008555503954801E+20"/>
        <n v="2.2549182907578201E+20"/>
        <n v="2.2269068834192101E+20"/>
        <n v="2.0168213283796599E+20"/>
        <n v="2.0028156247103599E+20"/>
        <n v="2.0728441430568799E+20"/>
        <n v="1.96079851370245E+20"/>
        <n v="2.1568783650726901E+20"/>
        <n v="1.94679281003315E+20"/>
        <n v="1.8627585880173301E+20"/>
        <n v="2.03082703204897E+20"/>
        <n v="1.80673577334011E+20"/>
        <n v="2.0294870625393099E+20"/>
        <n v="2.5086715078610901E+20"/>
        <n v="2.0999553633219199E+20"/>
        <n v="2.05767438285235E+20"/>
        <n v="2.0435807226958299E+20"/>
        <n v="2.4241095469219499E+20"/>
        <n v="2.2408919648871501E+20"/>
        <n v="2.4804841875480399E+20"/>
        <n v="2.2690792852002E+20"/>
        <n v="2.21270464457411E+20"/>
        <n v="2.28317294535672E+20"/>
        <n v="2.24822128920145E+20"/>
        <n v="2.1250310815739701E+20"/>
        <n v="1.9864420979930599E+20"/>
        <n v="2.26362006515488E+20"/>
        <n v="2.58699436017701E+20"/>
        <n v="2.3560127208754899E+20"/>
        <n v="2.1866261853877099E+20"/>
        <n v="1.9556445460861901E+20"/>
        <n v="2.41760782468923E+20"/>
        <n v="2.81797599947853E+20"/>
        <n v="2.1096323056205401E+20"/>
        <n v="2.0230889997494501E+20"/>
        <n v="2.3416856926233802E+20"/>
        <n v="2.0390188343931499E+20"/>
        <n v="2.7080718894284E+20"/>
        <n v="2.45319453512926E+20"/>
        <n v="2.07087850368054E+20"/>
        <n v="2.4213348658418601E+20"/>
        <n v="2.2461066847612001E+20"/>
        <n v="2.15052767689902E+20"/>
        <n v="2.32575585797968E+20"/>
        <n v="2.38947519655447E+20"/>
        <n v="2.0549486690368399E+20"/>
        <n v="2.3384119581300199E+20"/>
        <n v="2.22928606675062E+20"/>
        <n v="2.6346108061598299E+20"/>
        <n v="2.8216837628102299E+20"/>
        <n v="2.4475378495094299E+20"/>
        <n v="2.4007696103468299E+20"/>
        <n v="2.5410743278346299E+20"/>
        <n v="2.7281472844850299E+20"/>
        <n v="2.47871667561783E+20"/>
        <n v="2.66578963226823E+20"/>
        <n v="2.4631272625636301E+20"/>
        <n v="2.9739732617887403E+20"/>
        <n v="2.7792488220287599E+20"/>
        <n v="2.4252043861015301E+20"/>
        <n v="2.5314177168797001E+20"/>
        <n v="2.7615466002324E+20"/>
        <n v="2.6907377130469501E+20"/>
        <n v="2.54911993867606E+20"/>
        <n v="2.65533326945423E+20"/>
        <n v="2.5137154950833399E+20"/>
        <n v="2.6730354912505899E+20"/>
        <n v="2.5668221604724199E+20"/>
        <n v="2.4075021643051699E+20"/>
        <n v="2.7438443784360401E+20"/>
        <n v="2.4903119274934901E+20"/>
        <n v="2.2339562878985699E+20"/>
        <n v="2.8382231526580201E+20"/>
        <n v="2.4720008103795599E+20"/>
        <n v="2.9114676211137099E+20"/>
        <n v="2.6184897472909499E+20"/>
        <n v="3.16782326070863E+20"/>
        <n v="2.6368008644048699E+20"/>
        <n v="3.00302320668332E+20"/>
        <n v="2.36213410769603E+20"/>
        <n v="2.76497868420233E+20"/>
        <n v="2.5086230446074098E+20"/>
        <n v="2.6315406942394401E+20"/>
        <n v="2.9787578691738101E+20"/>
        <n v="2.72291363501164E+20"/>
        <n v="2.6863644587027599E+20"/>
        <n v="2.44879481269503E+20"/>
        <n v="3.0518562217915698E+20"/>
        <n v="2.35742187192283E+20"/>
        <n v="2.2477743429961898E+20"/>
        <n v="2.8325611639382799E+20"/>
        <n v="2.74118822316608E+20"/>
        <n v="2.52189316531279E+20"/>
        <n v="2.54016775346723E+20"/>
        <n v="2.3694965397082499E+20"/>
        <n v="2.3143919690173599E+20"/>
        <n v="2.5899148224718101E+20"/>
        <n v="2.2592873983264699E+20"/>
        <n v="2.00213273510232E+20"/>
        <n v="2.4980738713203301E+20"/>
        <n v="2.55317844201122E+20"/>
        <n v="2.4062329201688399E+20"/>
        <n v="2.5348102517809201E+20"/>
        <n v="2.81033310523537E+20"/>
        <n v="2.29602377878706E+20"/>
        <n v="2.5715466322415102E+20"/>
        <n v="2.6817557736232901E+20"/>
        <n v="2.29809819299954E+20"/>
        <n v="2.9279473273771901E+20"/>
        <n v="2.8428325794883201E+20"/>
        <n v="2.5874883358217001E+20"/>
        <n v="2.6215342349772499E+20"/>
        <n v="2.5023735879328301E+20"/>
        <n v="2.43428178962173E+20"/>
        <n v="2.80878668033277E+20"/>
        <n v="2.5193965375106E+20"/>
        <n v="2.3661899913106299E+20"/>
        <n v="2.2129834451106601E+20"/>
        <n v="2.34916704173286E+20"/>
        <n v="2.4683276887772801E+20"/>
        <n v="2.3151211425773099E+20"/>
        <n v="2.4611401515564001E+20"/>
        <n v="2.5138788690897499E+20"/>
        <n v="2.3732422890008101E+20"/>
        <n v="2.32050357146746E+20"/>
        <n v="1.56458195348942E+20"/>
        <n v="2.47871972406751E+20"/>
        <n v="2.2677648539341101E+20"/>
        <n v="2.0216508387784701E+20"/>
        <n v="2.9533681818676697E+20"/>
        <n v="2.7775724567564999E+20"/>
        <n v="2.7424133117342699E+20"/>
        <n v="2.7248337392231501E+20"/>
        <n v="2.60999288319403E+20"/>
        <n v="2.42356482010875E+20"/>
        <n v="2.6608369003991099E+20"/>
        <n v="3.05064103230472E+20"/>
        <n v="2.59304487745901E+20"/>
        <n v="2.5760968717239799E+20"/>
        <n v="2.8642129692194302E+20"/>
        <n v="2.4913568430488499E+20"/>
        <n v="2.5591488659889599E+20"/>
        <n v="2.69473291186916E+20"/>
        <n v="2.8981089806894799E+20"/>
        <n v="2.76252493480927E+20"/>
        <n v="2.74688843247083E+20"/>
        <n v="2.91506527527517E+20"/>
        <n v="2.6160842214008E+20"/>
        <n v="2.7095158007365399E+20"/>
        <n v="2.4665936944636101E+20"/>
        <n v="2.5787115896665001E+20"/>
        <n v="2.82163369593943E+20"/>
        <n v="2.9524379070094698E+20"/>
        <n v="2.4105347468621601E+20"/>
        <n v="3.2701052767509997E+20"/>
        <n v="2.8963789594080199E+20"/>
        <n v="2.8776926435408799E+20"/>
        <n v="3.1393010656809602E+20"/>
        <n v="3.1493949960073603E+20"/>
        <n v="2.69948142514916E+20"/>
        <n v="2.2495678542909699E+20"/>
        <n v="2.67991996554663E+20"/>
        <n v="2.83641164236688E+20"/>
        <n v="2.6016741271365101E+20"/>
        <n v="2.6603585059441E+20"/>
        <n v="2.9733418595845898E+20"/>
        <n v="2.8950960211744699E+20"/>
        <n v="2.7777272635592799E+20"/>
        <n v="3.1689564556098902E+20"/>
        <n v="2.8755345615719399E+20"/>
        <n v="3.1532898315704297E+20"/>
        <n v="3.0365013192900503E+20"/>
        <n v="2.9975718151965802E+20"/>
        <n v="3.1727545836171598E+20"/>
        <n v="3.48419061636486E+20"/>
        <n v="3.2116840877106299E+20"/>
        <n v="3.2700783438508202E+20"/>
        <n v="2.8613185508694701E+20"/>
        <n v="3.2506135918040901E+20"/>
        <n v="2.7250652865423501E+20"/>
        <n v="3.3284725999910099E+20"/>
        <n v="2.62774152630869E+20"/>
        <n v="2.2900334777152999E+20"/>
        <n v="3.5955665818333702E+20"/>
        <n v="2.9963054848611398E+20"/>
        <n v="2.9320989387569699E+20"/>
        <n v="3.6383709459028201E+20"/>
        <n v="3.0819142130000298E+20"/>
        <n v="3.2531316692778097E+20"/>
        <n v="3.3173382153819803E+20"/>
        <n v="2.8250880285833599E+20"/>
        <n v="3.5313600357292003E+20"/>
        <n v="2.84649021061808E+20"/>
        <n v="2.8892945746875299E+20"/>
        <n v="2.9106967567222499E+20"/>
        <n v="3.5721969592192998E+20"/>
        <n v="3.4855982450564098E+20"/>
        <n v="3.3989995308935197E+20"/>
        <n v="3.1608530669455599E+20"/>
        <n v="3.1825027454862898E+20"/>
        <n v="2.9010569244568899E+20"/>
        <n v="3.5072479235971298E+20"/>
        <n v="3.2041524240270098E+20"/>
        <n v="3.3340504952713498E+20"/>
        <n v="3.1392033884048399E+20"/>
        <n v="3.4422988879749598E+20"/>
        <n v="3.9618911729523202E+20"/>
        <n v="3.7723288549311499E+20"/>
        <n v="3.3764671849692398E+20"/>
        <n v="3.35318120438324E+20"/>
        <n v="3.4463251267272199E+20"/>
        <n v="3.1203213985232899E+20"/>
        <n v="3.42303914614123E+20"/>
        <n v="3.60932699082918E+20"/>
        <n v="3.2833232626252598E+20"/>
        <n v="3.2600372820392601E+20"/>
        <n v="3.4696111073132203E+20"/>
        <n v="3.0504634567653097E+20"/>
        <n v="3.2367513014532702E+20"/>
        <n v="3.7257568937591603E+20"/>
        <n v="3.3803294216648897E+20"/>
        <n v="3.4993551055263302E+20"/>
        <n v="3.4755499687540398E+20"/>
        <n v="2.92803182299142E+20"/>
        <n v="3.6659910629323499E+20"/>
        <n v="3.8088218835660702E+20"/>
        <n v="3.3327191481203098E+20"/>
        <n v="3.7612116100215E+20"/>
        <n v="2.95183695976371E+20"/>
        <n v="3.6897961997046297E+20"/>
        <n v="3.9516527041998003E+20"/>
        <n v="3.3089140113480299E+20"/>
        <n v="3.2206040895358599E+20"/>
        <n v="3.5111849096443599E+20"/>
        <n v="3.6080451830138601E+20"/>
        <n v="3.5596150463291097E+20"/>
        <n v="3.4143246362748597E+20"/>
        <n v="3.0268835427968601E+20"/>
        <n v="3.1479588845087398E+20"/>
        <n v="3.3174643629053601E+20"/>
        <n v="3.58383011467148E+20"/>
        <n v="4.4071424383122303E+20"/>
        <n v="3.1237438161663597E+20"/>
        <n v="3.5353999779867302E+20"/>
        <n v="2.8397779847865002E+20"/>
        <n v="3.55568840111923E+20"/>
        <n v="3.3170515956749802E+20"/>
        <n v="3.2693242345861402E+20"/>
        <n v="3.6034157622080799E+20"/>
        <n v="4.0568256925521399E+20"/>
        <n v="3.36477895676383E+20"/>
        <n v="3.4602336789415297E+20"/>
        <n v="4.1522804147298402E+20"/>
        <n v="3.5079610400303802E+20"/>
        <n v="3.6511431232969297E+20"/>
        <n v="3.8181888871078999E+20"/>
        <n v="3.4730120381571E+20"/>
        <n v="3.6946936576139297E+20"/>
        <n v="3.2266991276494999E+20"/>
        <n v="3.7193249486646903E+20"/>
        <n v="3.5469059113093798E+20"/>
        <n v="3.7932188218169701E+20"/>
        <n v="3.7685875307662102E+20"/>
        <n v="3.5715372023601398E+20"/>
        <n v="3.9410065681215298E+20"/>
        <n v="3.9902691502230497E+20"/>
        <n v="3.3618720949407698E+20"/>
        <n v="4.1768713906839899E+20"/>
        <n v="3.3109346389568199E+20"/>
        <n v="3.7693717428123802E+20"/>
        <n v="3.51468446289263E+20"/>
        <n v="3.84577792678831E+20"/>
        <n v="3.4382782789167002E+20"/>
        <n v="3.9221841107642397E+20"/>
        <n v="4.3042150306438703E+20"/>
        <n v="4.1514026626920199E+20"/>
        <n v="3.9985902947401597E+20"/>
        <n v="3.7439030148204102E+20"/>
        <n v="3.1488488972798702E+20"/>
        <n v="3.8514846016315798E+20"/>
        <n v="3.9816023246596801E+20"/>
        <n v="3.6432962447866298E+20"/>
        <n v="3.9295552354484401E+20"/>
        <n v="3.6953433339978698E+20"/>
        <n v="3.5392020663641598E+20"/>
        <n v="3.5652256109697801E+20"/>
        <n v="3.2529430757023502E+20"/>
        <n v="3.7994375124203497E+20"/>
        <n v="2.8105428174068299E+20"/>
        <n v="3.6757494030124299E+20"/>
        <n v="3.9778657923011301E+20"/>
        <n v="3.34845664794968E+20"/>
        <n v="4.30515854736388E+20"/>
        <n v="3.4491621110459099E+20"/>
        <n v="3.5498675741421398E+20"/>
        <n v="3.9275130607530102E+20"/>
        <n v="3.4995148425940297E+20"/>
        <n v="4.4058640104601099E+20"/>
        <n v="4.4813931077822802E+20"/>
        <n v="4.2548058158157601E+20"/>
        <n v="3.8771603292049002E+20"/>
        <n v="3.3988093794977998E+20"/>
        <n v="3.8591120821421199E+20"/>
        <n v="3.2159267351184297E+20"/>
        <n v="3.6983157453861998E+20"/>
        <n v="4.1539053661946498E+20"/>
        <n v="3.6447169664675598E+20"/>
        <n v="4.3415010924098899E+20"/>
        <n v="3.9663096399793999E+20"/>
        <n v="3.4303218507930003E+20"/>
        <n v="3.0015316194438703E+20"/>
        <n v="3.5911181875489197E+20"/>
        <n v="3.9395102505200799E+20"/>
        <n v="4.0199084188980498E+20"/>
        <n v="3.5897312126733202E+20"/>
        <n v="3.6417563027120698E+20"/>
        <n v="3.4336559425570898E+20"/>
        <n v="4.3701075632544802E+20"/>
        <n v="3.6677688477314397E+20"/>
        <n v="3.6157437576926999E+20"/>
        <n v="4.0059319329832698E+20"/>
        <n v="3.9278942979251601E+20"/>
        <n v="3.1475179473440001E+20"/>
        <n v="4.2660573831769902E+20"/>
        <n v="3.7978315728283002E+20"/>
        <n v="3.2515681274214901E+20"/>
        <n v="4.2190950060732501E+20"/>
        <n v="3.3075621343907598E+20"/>
        <n v="3.9326132464016097E+20"/>
        <n v="4.3493139877421803E+20"/>
        <n v="3.5159125050610398E+20"/>
        <n v="4.45348917307732E+20"/>
        <n v="4.24513880240704E+20"/>
        <n v="4.0628322280705399E+20"/>
        <n v="3.6200876903961802E+20"/>
        <n v="3.64613148672997E+20"/>
        <n v="4.2972263950746098E+20"/>
        <n v="3.7242628757313297E+20"/>
        <n v="3.9262389192117997E+20"/>
        <n v="3.8432902096509901E+20"/>
        <n v="3.7326919302365702E+20"/>
        <n v="3.7879910699437798E+20"/>
        <n v="3.20735010301809E+20"/>
        <n v="3.2626492427253003E+20"/>
        <n v="4.3686320368694703E+20"/>
        <n v="3.4838458015541297E+20"/>
        <n v="3.98153805891901E+20"/>
        <n v="4.1750850478942401E+20"/>
        <n v="4.20273461774784E+20"/>
        <n v="4.1197859081870298E+20"/>
        <n v="3.4285466618469201E+20"/>
        <n v="3.6339545398540698E+20"/>
        <n v="3.9300545393977301E+20"/>
        <n v="3.58011817630067E+20"/>
        <n v="4.0646454482812201E+20"/>
        <n v="3.9569727211744297E+20"/>
        <n v="4.2799909024947903E+20"/>
        <n v="3.7954636305142501E+20"/>
        <n v="4.3607454478248798E+20"/>
        <n v="5.0606181740190001E+20"/>
        <n v="4.1723181753879999E+20"/>
        <n v="4.0108090847278203E+20"/>
        <n v="4.1992363571647001E+20"/>
        <n v="3.9468274432308E+20"/>
        <n v="4.1455885374942203E+20"/>
        <n v="3.91843300119316E+20"/>
        <n v="3.6628830228544802E+20"/>
        <n v="4.4295329578705302E+20"/>
        <n v="4.1171940954565902E+20"/>
        <n v="3.8616441171178999E+20"/>
        <n v="4.4579273999081701E+20"/>
        <n v="4.1739829795318497E+20"/>
        <n v="4.0036163273060601E+20"/>
        <n v="4.6731269126316497E+20"/>
        <n v="3.7328025948460201E+20"/>
        <n v="4.0177493578113601E+20"/>
        <n v="4.5591482074455199E+20"/>
        <n v="4.8725896467073997E+20"/>
        <n v="4.2172120918871002E+20"/>
        <n v="4.4451695022593802E+20"/>
        <n v="4.6161375600385897E+20"/>
        <n v="4.7016215889281902E+20"/>
        <n v="3.9322653289217602E+20"/>
        <n v="4.1602227392940297E+20"/>
        <n v="4.7586109415212601E+20"/>
        <n v="4.2777308364600102E+20"/>
        <n v="4.9148396844434103E+20"/>
        <n v="4.3990849027425599E+20"/>
        <n v="4.24739231988937E+20"/>
        <n v="4.0653612204655398E+20"/>
        <n v="4.5507774855957499E+20"/>
        <n v="4.6417930353076699E+20"/>
        <n v="4.7631471015902203E+20"/>
        <n v="3.8226530879004298E+20"/>
        <n v="4.3687463861719197E+20"/>
        <n v="4.6721315518783101E+20"/>
        <n v="4.8541626513021403E+20"/>
        <n v="4.15637677017745E+20"/>
        <n v="4.8439185889473803E+20"/>
        <n v="4.8128678287618199E+20"/>
        <n v="4.6265632676484599E+20"/>
        <n v="4.4713094667206597E+20"/>
        <n v="4.2229033852361802E+20"/>
        <n v="5.2165277111741003E+20"/>
        <n v="5.0612739102463001E+20"/>
        <n v="3.9434465435661297E+20"/>
        <n v="4.1297511046794897E+20"/>
        <n v="4.4402587065350999E+20"/>
        <n v="4.7818170685762601E+20"/>
        <n v="4.9681216296896201E+20"/>
        <n v="4.9991723898751798E+20"/>
        <n v="3.8903799471603397E+20"/>
        <n v="4.43696225378617E+20"/>
        <n v="4.7584812576837199E+20"/>
        <n v="4.8227850584632302E+20"/>
        <n v="4.79063315807348E+20"/>
        <n v="5.4658230662583301E+20"/>
        <n v="5.3372154646993102E+20"/>
        <n v="4.8870888592427398E+20"/>
        <n v="4.5655698553451898E+20"/>
        <n v="4.7263293572939697E+20"/>
        <n v="5.4015192654788198E+20"/>
        <n v="5.1121521619710299E+20"/>
        <n v="4.93217211562038E+20"/>
        <n v="4.3916601029496498E+20"/>
        <n v="4.9659541164122997E+20"/>
        <n v="4.5943521077011697E+20"/>
        <n v="4.5267881061173297E+20"/>
        <n v="5.7091581338345498E+20"/>
        <n v="4.2903141005738902E+20"/>
        <n v="5.5740301306668699E+20"/>
        <n v="5.2362101227476602E+20"/>
        <n v="4.6619161092850103E+20"/>
        <n v="3.8849300910708398E+20"/>
        <n v="4.56057010690925E+20"/>
        <n v="5.3037741243315002E+20"/>
        <n v="4.6841126916734203E+20"/>
        <n v="5.2863557520314302E+20"/>
        <n v="4.8179444828640903E+20"/>
        <n v="4.9852342218524197E+20"/>
        <n v="4.8848603784594201E+20"/>
        <n v="5.4536454910197701E+20"/>
        <n v="5.0856080652454298E+20"/>
        <n v="5.0186921696500901E+20"/>
        <n v="5.6209352300081001E+20"/>
        <n v="5.4201875432221003E+20"/>
        <n v="4.8514024306617503E+20"/>
        <n v="5.72711193030428E+20"/>
        <n v="6.1208508755127003E+20"/>
        <n v="4.9754284894518398E+20"/>
        <n v="4.6174839938078199E+20"/>
        <n v="4.3311283972926099E+20"/>
        <n v="5.4049618842246598E+20"/>
        <n v="5.1901951868382498E+20"/>
        <n v="5.5839341320466701E+20"/>
        <n v="5.5481396824822697E+20"/>
        <n v="4.6890728929366298E+20"/>
        <n v="5.6555230311754701E+20"/>
        <n v="6.0850564259482999E+20"/>
        <n v="4.9396340398874401E+20"/>
        <n v="5.0941437857149603E+20"/>
        <n v="4.2936354765311797E+20"/>
        <n v="4.4755691831638603E+20"/>
        <n v="5.5307846816333903E+20"/>
        <n v="4.8394365964292103E+20"/>
        <n v="6.2949062494906299E+20"/>
        <n v="6.1129725428579605E+20"/>
        <n v="5.7854918709191403E+20"/>
        <n v="4.6575028897965402E+20"/>
        <n v="4.1480885112250401E+20"/>
        <n v="4.5483426658169297E+20"/>
        <n v="4.4027957005107901E+20"/>
        <n v="5.1669172683680298E+20"/>
        <n v="4.8030498551026798E+20"/>
        <n v="5.2033040096945701E+20"/>
        <n v="4.8955134776354E+20"/>
        <n v="5.5948725458690297E+20"/>
        <n v="5.3850648253989401E+20"/>
        <n v="5.2451930117522201E+20"/>
        <n v="6.3291995675143399E+20"/>
        <n v="5.3151289185755798E+20"/>
        <n v="5.9795200333975296E+20"/>
        <n v="5.4550007322223103E+20"/>
        <n v="5.0353852912821299E+20"/>
        <n v="4.5808018969302702E+20"/>
        <n v="5.3500968719872603E+20"/>
        <n v="6.57397524139611E+20"/>
        <n v="5.6673818462849099E+20"/>
        <n v="5.8175111667162998E+20"/>
        <n v="5.8550434968241399E+20"/>
        <n v="6.3804961183339997E+20"/>
        <n v="6.0051728172555305E+20"/>
        <n v="5.1794615548829001E+20"/>
        <n v="6.2303667979026196E+20"/>
        <n v="5.70491417639275E+20"/>
        <n v="5.1419292247750502E+20"/>
        <n v="6.7182870893046294E+20"/>
        <n v="5.0668645645593497E+20"/>
        <n v="5.2169938849907402E+20"/>
        <n v="5.8925758269319899E+20"/>
        <n v="5.4438661642195599E+20"/>
        <n v="6.0938800345741302E+20"/>
        <n v="4.9157298945564698E+20"/>
        <n v="5.5251178980138798E+20"/>
        <n v="5.7282472324996799E+20"/>
        <n v="5.6063696318081997E+20"/>
        <n v="5.4844920311167202E+20"/>
        <n v="6.4595128366485799E+20"/>
        <n v="5.5657437649110401E+20"/>
        <n v="6.6626421711343806E+20"/>
        <n v="5.4032402973224003E+20"/>
        <n v="5.24073682973375E+20"/>
        <n v="6.0532541676769706E+20"/>
        <n v="6.0746392565952296E+20"/>
        <n v="5.00960510121814E+20"/>
        <n v="6.1140849660536396E+20"/>
        <n v="5.0884965201349601E+20"/>
        <n v="6.5874334795545602E+20"/>
        <n v="5.5223993241774798E+20"/>
        <n v="7.1002277025138999E+20"/>
        <n v="6.42965064172092E+20"/>
        <n v="5.6407364525527099E+20"/>
        <n v="6.7057706079297995E+20"/>
        <n v="5.5618450336358898E+20"/>
        <n v="6.3113135133456898E+20"/>
        <n v="5.8840334927172102E+20"/>
        <n v="5.2998032168445798E+20"/>
        <n v="6.0092256946899098E+20"/>
        <n v="6.09268716267172E+20"/>
        <n v="6.5517252365716396E+20"/>
        <n v="6.2178793646444302E+20"/>
        <n v="5.0076880789082597E+20"/>
        <n v="5.6336490887717899E+20"/>
        <n v="6.5099945025807398E+20"/>
        <n v="7.0942247784533695E+20"/>
        <n v="5.5084568867990903E+20"/>
        <n v="5.5919183547808901E+20"/>
        <n v="5.6753798227627003E+20"/>
        <n v="6.2810434859366705E+20"/>
        <n v="5.9504622498347404E+20"/>
        <n v="6.4050114494748898E+20"/>
        <n v="5.6612036682455502E+20"/>
        <n v="6.1983981769111896E+20"/>
        <n v="6.11575286788571E+20"/>
        <n v="5.8678169408092602E+20"/>
        <n v="5.70252632275829E+20"/>
        <n v="7.0248512671660101E+20"/>
        <n v="6.5289794130131196E+20"/>
        <n v="6.03310755886022E+20"/>
        <n v="6.2397208314239294E+20"/>
        <n v="5.6686060953527203E+20"/>
        <n v="5.8403820376361402E+20"/>
        <n v="7.0428136336200499E+20"/>
        <n v="6.7422057346240702E+20"/>
        <n v="6.05510196549041E+20"/>
        <n v="7.0857576191908997E+20"/>
        <n v="5.88332602320699E+20"/>
        <n v="6.2268779077738195E+20"/>
        <n v="6.4845418211989494E+20"/>
        <n v="5.5827181242110103E+20"/>
        <n v="6.0121579799195497E+20"/>
        <n v="6.5274858067698005E+20"/>
        <n v="7.2145895759034594E+20"/>
        <n v="6.6563177634823602E+20"/>
        <n v="6.2629468273023399E+20"/>
        <n v="5.8249785177007797E+20"/>
        <n v="6.1315563344218699E+20"/>
        <n v="5.7373848557804703E+20"/>
        <n v="6.1753531653820305E+20"/>
        <n v="5.7811816867406198E+20"/>
        <n v="6.3505404892226598E+20"/>
        <n v="5.6497911938601497E+20"/>
        <n v="6.0877595034617197E+20"/>
        <n v="5.3432133771390602E+20"/>
        <n v="5.5621975319398397E+20"/>
        <n v="5.9933243757901106E+20"/>
        <n v="6.5719901775905397E+20"/>
        <n v="5.4559918455468602E+20"/>
        <n v="6.0759909189044601E+20"/>
        <n v="5.6213249317755499E+20"/>
        <n v="5.8279912895614203E+20"/>
        <n v="5.8693245611185897E+20"/>
        <n v="6.40665709136185E+20"/>
        <n v="5.2906587593181698E+20"/>
        <n v="6.36532381980467E+20"/>
        <n v="6.4479903629190195E+20"/>
        <n v="5.7039914748899E+20"/>
        <n v="6.3239905482475006E+20"/>
        <n v="7.0889166171780101E+20"/>
        <n v="6.7114003476241501E+20"/>
        <n v="7.04697036500536E+20"/>
        <n v="5.1593890172360602E+20"/>
        <n v="5.6207977911352197E+20"/>
        <n v="5.7466365476531798E+20"/>
        <n v="6.2080453215523399E+20"/>
        <n v="5.9144215563437801E+20"/>
        <n v="5.8724753041711301E+20"/>
        <n v="6.5855615911061999E+20"/>
        <n v="5.5348980559013603E+20"/>
        <n v="5.90944002960898E+20"/>
        <n v="7.1579132753010098E+20"/>
        <n v="6.36721355302939E+20"/>
        <n v="5.7845927050397699E+20"/>
        <n v="5.1187403073373497E+20"/>
        <n v="6.0759031290345803E+20"/>
        <n v="6.0342873541781802E+20"/>
        <n v="5.3268191816193599E+20"/>
        <n v="5.5765138307577597E+20"/>
        <n v="6.7833713015934E+20"/>
        <n v="5.82620847989617E+20"/>
        <n v="6.3255977781729899E+20"/>
        <n v="5.7013611553269698E+20"/>
        <n v="5.5321614005231498E+20"/>
        <n v="5.8233277900243698E+20"/>
        <n v="6.3224701720264599E+20"/>
        <n v="4.6586622320194899E+20"/>
        <n v="5.1578046140215801E+20"/>
        <n v="5.0330190185210603E+20"/>
        <n v="5.4073758050226301E+20"/>
        <n v="5.6153517975235002E+20"/>
        <n v="6.5304461645273301E+20"/>
        <n v="5.8649229885245397E+20"/>
        <n v="6.1560893780257604E+20"/>
        <n v="6.0313037825252406E+20"/>
        <n v="4.7815903884592402E+20"/>
        <n v="6.5203505297171402E+20"/>
        <n v="5.5719359072128303E+20"/>
        <n v="6.2832468740910599E+20"/>
        <n v="6.0856604944026698E+20"/>
        <n v="5.3743495275244303E+20"/>
        <n v="5.53241863127515E+20"/>
        <n v="5.92759139065195E+20"/>
        <n v="6.5993850815924994E+20"/>
        <n v="6.0461432184649902E+20"/>
        <n v="5.8090395628389099E+20"/>
        <n v="5.0977285959606698E+20"/>
        <n v="5.9955636152355796E+20"/>
        <n v="6.7297142619991205E+20"/>
        <n v="6.8928588501687901E+20"/>
        <n v="7.3007203205929894E+20"/>
        <n v="5.7100605859386497E+20"/>
        <n v="6.6481419679142799E+20"/>
        <n v="6.5257835267870294E+20"/>
        <n v="6.2810666445325101E+20"/>
        <n v="6.0363497622779999E+20"/>
        <n v="7.2599341735505704E+20"/>
        <n v="6.1179220563628406E+20"/>
        <n v="6.35494936245638E+20"/>
        <n v="6.3098787996020795E+20"/>
        <n v="5.63382035678757E+20"/>
        <n v="6.0845259853305794E+20"/>
        <n v="6.4450904881649903E+20"/>
        <n v="7.0310078052708896E+20"/>
        <n v="5.4986086682246703E+20"/>
        <n v="5.81410260820478E+20"/>
        <n v="5.8591731710590799E+20"/>
        <n v="7.2563606195424002E+20"/>
        <n v="6.1746671110391805E+20"/>
        <n v="6.7155138652907897E+20"/>
        <n v="5.9493142967676803E+20"/>
        <n v="6.9094470580168806E+20"/>
        <n v="6.1321342639899804E+20"/>
        <n v="6.4344225727782204E+20"/>
        <n v="6.7367108815664605E+20"/>
        <n v="5.6139257346387103E+20"/>
        <n v="6.4776066168908205E+20"/>
        <n v="6.3480544845530097E+20"/>
        <n v="7.0821832344673006E+20"/>
        <n v="6.6071587492286405E+20"/>
        <n v="5.7434778669765303E+20"/>
        <n v="5.7866619110891297E+20"/>
        <n v="6.9526311021294794E+20"/>
        <n v="5.8709119659630697E+20"/>
        <n v="6.3156780239905699E+20"/>
        <n v="6.5380610530043206E+20"/>
        <n v="7.4275931690593301E+20"/>
        <n v="6.6270142646098199E+20"/>
        <n v="6.7159674762153296E+20"/>
        <n v="6.8938738994263294E+20"/>
        <n v="6.44910784139882E+20"/>
        <n v="7.0273037168345796E+20"/>
        <n v="6.0932949949768204E+20"/>
        <n v="4.97526736659545E+20"/>
        <n v="7.0022281455787901E+20"/>
        <n v="5.6662767230670399E+20"/>
        <n v="6.40335336997007E+20"/>
        <n v="6.9561608551473506E+20"/>
        <n v="5.7584113039299202E+20"/>
        <n v="6.9100935647159098E+20"/>
        <n v="6.3572860795386397E+20"/>
        <n v="5.6202094326355997E+20"/>
        <n v="6.6797571125587096E+20"/>
        <n v="6.2190842082443198E+20"/>
        <n v="6.2651514986757593E+20"/>
        <n v="6.7258244029901505E+20"/>
        <n v="6.6336898221272701E+20"/>
        <n v="5.7129886818012699E+20"/>
        <n v="6.0206111492828797E+20"/>
        <n v="5.6690426150181798E+20"/>
        <n v="6.8116403513784402E+20"/>
        <n v="6.8995324849446099E+20"/>
        <n v="6.9434785517276994E+20"/>
        <n v="7.4268852863416494E+20"/>
        <n v="6.6358560842460902E+20"/>
        <n v="6.6798021510291797E+20"/>
        <n v="7.3389931527754796E+20"/>
        <n v="5.8112789086651803E+20"/>
        <n v="7.0925057546701098E+20"/>
        <n v="6.4061342300246101E+20"/>
        <n v="6.5434085349537101E+20"/>
        <n v="6.31461802673855E+20"/>
        <n v="6.3603761283815794E+20"/>
        <n v="7.1382638563131405E+20"/>
        <n v="6.45189233166765E+20"/>
        <n v="7.1840219579561699E+20"/>
        <n v="6.2231018234524795E+20"/>
        <n v="7.9161515842447003E+20"/>
        <n v="7.8246353809586402E+20"/>
        <n v="7.1814329827537794E+20"/>
        <n v="6.9911963474490399E+20"/>
        <n v="7.2765513004061399E+20"/>
        <n v="6.9436371886228596E+20"/>
        <n v="7.6570245710156202E+20"/>
        <n v="7.9899386827989005E+20"/>
        <n v="7.4667879357108794E+20"/>
        <n v="8.03749784162509E+20"/>
        <n v="7.5143470945370597E+20"/>
        <n v="6.7058413944919399E+20"/>
        <n v="6.2778089650562793E+20"/>
        <n v="7.0235198869232497E+20"/>
        <n v="7.7309247676205603E+20"/>
        <n v="7.8825115277699803E+20"/>
        <n v="7.1751066470726697E+20"/>
        <n v="7.4782801673715201E+20"/>
        <n v="6.8719331267738298E+20"/>
        <n v="7.3772223272718998E+20"/>
        <n v="6.9729909668734396E+20"/>
        <n v="6.4171728463255595E+20"/>
        <n v="7.5793380074711299E+20"/>
        <n v="7.9330404478197904E+20"/>
        <n v="8.8984595511589601E+20"/>
        <n v="7.4747060229735304E+20"/>
        <n v="7.3221610020965201E+20"/>
        <n v="7.2713126618041798E+20"/>
        <n v="7.0170709603425006E+20"/>
        <n v="6.81367759917315E+20"/>
        <n v="8.5933695094049394E+20"/>
        <n v="7.0679193006348304E+20"/>
        <n v="6.7628292588808097E+20"/>
        <n v="7.22046432151185E+20"/>
        <n v="6.1526491753727695E+20"/>
        <n v="8.3391278079432602E+20"/>
        <n v="8.0340377661892395E+20"/>
        <n v="6.4577392171267903E+20"/>
        <n v="8.1104207062737997E+20"/>
        <n v="7.5938334001417106E+20"/>
        <n v="8.00710324504738E+20"/>
        <n v="7.0255873633964104E+20"/>
        <n v="7.3355397470756694E+20"/>
        <n v="7.5421746695284995E+20"/>
        <n v="8.6270080124058901E+20"/>
        <n v="7.9554445144341794E+20"/>
        <n v="7.6454921307549204E+20"/>
        <n v="8.7819842042455196E+20"/>
        <n v="8.2137381675002194E+20"/>
        <n v="7.0772460940096202E+20"/>
        <n v="7.9841413103690698E+20"/>
        <n v="7.3367785014202296E+20"/>
        <n v="7.7683537073861204E+20"/>
        <n v="7.8223006081318597E+20"/>
        <n v="8.1459820126062798E+20"/>
        <n v="8.3617696155892305E+20"/>
        <n v="7.4986192036574396E+20"/>
        <n v="7.1209908984372802E+20"/>
        <n v="7.0670439976915396E+20"/>
        <n v="8.5236103178264406E+20"/>
        <n v="7.7144068066403903E+20"/>
        <n v="8.6771015598499103E+20"/>
        <n v="7.0399125862933201E+20"/>
        <n v="7.6402152099307402E+20"/>
        <n v="9.1136852861316694E+20"/>
        <n v="7.74936114150118E+20"/>
        <n v="8.1313719019977205E+20"/>
        <n v="8.5133826624942598E+20"/>
        <n v="7.2582044494341997E+20"/>
        <n v="7.3127774152194195E+20"/>
        <n v="6.8216207231524497E+20"/>
        <n v="8.2950907993533802E+20"/>
        <n v="7.5310692783603004E+20"/>
        <n v="9.3865501150577702E+20"/>
        <n v="7.0279604437768995E+20"/>
        <n v="8.4555149089190799E+20"/>
        <n v="7.6319257944139694E+20"/>
        <n v="8.2358911450510498E+20"/>
        <n v="7.1377723257109099E+20"/>
        <n v="8.3457030269850694E+20"/>
        <n v="7.3024901486119302E+20"/>
        <n v="7.4672079715129505E+20"/>
        <n v="7.6868317353809805E+20"/>
        <n v="7.5221139124799603E+20"/>
        <n v="8.3833624131977504E+20"/>
        <n v="7.9534463920081194E+20"/>
        <n v="8.32962291054905E+20"/>
        <n v="7.7922278840620102E+20"/>
        <n v="6.7174378310879399E+20"/>
        <n v="9.8880684873614505E+20"/>
        <n v="9.1894549529283094E+20"/>
        <n v="8.22214390525164E+20"/>
        <n v="7.0398748469801596E+20"/>
        <n v="7.7384883814133098E+20"/>
        <n v="9.2969339582257103E+20"/>
        <n v="8.59832042379256E+20"/>
        <n v="8.1156587085739E+20"/>
        <n v="7.88864727616624E+20"/>
        <n v="7.0373544046375102E+20"/>
        <n v="7.5481301275547494E+20"/>
        <n v="8.9669515801026298E+20"/>
        <n v="8.6264344314911405E+20"/>
        <n v="9.0804572963064604E+20"/>
        <n v="8.5696815733892199E+20"/>
        <n v="7.7751415599624094E+20"/>
        <n v="7.9454001342681501E+20"/>
        <n v="7.1508601208413395E+20"/>
        <n v="7.3778715532489995E+20"/>
        <n v="7.3211186951470803E+20"/>
        <n v="7.1453022983741401E+20"/>
        <n v="8.0796879835461504E+20"/>
        <n v="8.6293266218826203E+20"/>
        <n v="8.2445795750470903E+20"/>
        <n v="8.5743627580489794E+20"/>
        <n v="7.9147963920452105E+20"/>
        <n v="6.9254468430395605E+20"/>
        <n v="8.0247241197125003E+20"/>
        <n v="7.3651577537087301E+20"/>
        <n v="9.3438568517200406E+20"/>
        <n v="7.8048686643779102E+20"/>
        <n v="7.5300493452096805E+20"/>
        <n v="8.7392543495499206E+20"/>
        <n v="8.5854724218825697E+20"/>
        <n v="7.6934752871415205E+20"/>
        <n v="8.5297226009612504E+20"/>
        <n v="8.8642215264891503E+20"/>
        <n v="7.9164745708267897E+20"/>
        <n v="7.3589763616136298E+20"/>
        <n v="8.0837240335907304E+20"/>
        <n v="7.8049749289841499E+20"/>
        <n v="8.4739727800399403E+20"/>
        <n v="8.3624731381973097E+20"/>
        <n v="8.8216696391967297E+20"/>
        <n v="8.7085713104890796E+20"/>
        <n v="8.4258254887199506E+20"/>
        <n v="8.5954729817814296E+20"/>
        <n v="8.3692763243661296E+20"/>
        <n v="7.9734321738893505E+20"/>
        <n v="7.7472355164740505E+20"/>
        <n v="7.6341371877664005E+20"/>
        <n v="9.7264562688579299E+20"/>
        <n v="1.01788495836885E+21"/>
        <n v="9.2740629540273298E+20"/>
        <n v="8.7582684800974704E+20"/>
        <n v="9.2414832927924997E+20"/>
        <n v="7.9126425578811595E+20"/>
        <n v="8.6978666285105899E+20"/>
        <n v="8.9394740348581105E+20"/>
        <n v="1.03891184729432E+21"/>
        <n v="8.9998758864449896E+20"/>
        <n v="8.2146518158155606E+20"/>
        <n v="8.5151603690343996E+20"/>
        <n v="7.5349980243973505E+20"/>
        <n v="7.7187784640168002E+20"/>
        <n v="9.4953227136714605E+20"/>
        <n v="6.9836567055390094E+20"/>
        <n v="8.6376806621140301E+20"/>
        <n v="8.8214611017334797E+20"/>
        <n v="8.1475994897955095E+20"/>
        <n v="8.2701197828751399E+20"/>
        <n v="8.9439813948131194E+20"/>
        <n v="8.0863393432556903E+20"/>
        <n v="9.7403632998307201E+20"/>
        <n v="1.00466640325298E+21"/>
        <n v="8.2306087071585796E+20"/>
        <n v="1.03622771493003E+21"/>
        <n v="8.1713956948768601E+20"/>
        <n v="8.9411648545391706E+20"/>
        <n v="9.4148689527929006E+20"/>
        <n v="8.28982171944029E+20"/>
        <n v="8.8819518422574498E+20"/>
        <n v="8.8227388299757394E+20"/>
        <n v="8.5858867808488705E+20"/>
        <n v="7.6976915966231301E+20"/>
        <n v="8.5266737685671602E+20"/>
        <n v="8.64509979313059E+20"/>
        <n v="8.0529696703134302E+20"/>
        <n v="8.4674607562854393E+20"/>
        <n v="9.7972325129981093E+20"/>
        <n v="8.5272208909427999E+20"/>
        <n v="8.9505580982945697E+20"/>
        <n v="8.7086511226649798E+20"/>
        <n v="9.0715115861093594E+20"/>
        <n v="9.3738953056463395E+20"/>
        <n v="9.1319883300167496E+20"/>
        <n v="9.2529418178315407E+20"/>
        <n v="9.9181860008129004E+20"/>
        <n v="9.6158022812759202E+20"/>
        <n v="1.01628410488777E+21"/>
        <n v="8.3953904316816504E+20"/>
        <n v="9.0897460312944201E+20"/>
        <n v="7.9535277773826202E+20"/>
        <n v="8.4585136680100902E+20"/>
        <n v="9.0266227949659895E+20"/>
        <n v="9.6578551582503194E+20"/>
        <n v="8.8372530859806897E+20"/>
        <n v="1.06678269395052E+21"/>
        <n v="8.9003763223091203E+20"/>
        <n v="9.3422389766081597E+20"/>
        <n v="9.1528692676228599E+20"/>
        <n v="9.4887594264054596E+20"/>
        <n v="8.5461674304049198E+20"/>
        <n v="9.1745620944052801E+20"/>
        <n v="7.41505703520426E+20"/>
        <n v="8.7975252960050597E+20"/>
        <n v="7.9806122328045899E+20"/>
        <n v="8.8603647624050901E+20"/>
        <n v="6.7238229048038706E+20"/>
        <n v="7.3522175688042296E+20"/>
        <n v="8.9860436952051705E+20"/>
        <n v="9.8657962248056694E+20"/>
        <n v="7.2265386360041505E+20"/>
        <n v="9.1117226280052405E+20"/>
        <n v="9.8257261938906798E+20"/>
        <n v="8.4303567935748401E+20"/>
        <n v="7.7908124850967504E+20"/>
        <n v="8.8954799270134494E+20"/>
        <n v="8.7791991436537994E+20"/>
        <n v="9.24432227709241E+20"/>
        <n v="9.12804149373276E+20"/>
        <n v="9.3024626687722403E+20"/>
        <n v="8.2559356185353598E+20"/>
        <n v="9.5350242354915403E+20"/>
        <n v="9.9420069772503299E+20"/>
        <n v="8.7210587519739704E+20"/>
        <n v="9.3526974381451497E+20"/>
        <n v="8.5994600605764105E+20"/>
        <n v="9.1016183122889094E+20"/>
        <n v="1.0294244160106001E+21"/>
        <n v="8.2228413717920494E+20"/>
        <n v="8.5366902791123501E+20"/>
        <n v="9.0388485308248398E+20"/>
        <n v="8.9133089678967203E+20"/>
        <n v="9.4154672196092101E+20"/>
        <n v="8.7877694049685996E+20"/>
        <n v="9.2271578752170302E+20"/>
        <n v="1.00431650342498E+21"/>
        <n v="9.7063642617973205E+20"/>
        <n v="8.6913196331126306E+20"/>
        <n v="9.1988419474549794E+20"/>
        <n v="7.1053124007928096E+20"/>
        <n v="9.7698045510901105E+20"/>
        <n v="9.57948368321173E+20"/>
        <n v="9.8332448403829096E+20"/>
        <n v="1.08482894690675E+21"/>
        <n v="8.7547599224054297E+20"/>
        <n v="9.1354016581621803E+20"/>
        <n v="1.02138865761396E+21"/>
        <n v="7.4637421339173401E+20"/>
        <n v="8.6862516213693206E+20"/>
        <n v="9.4583628766021406E+20"/>
        <n v="8.8149368305747899E+20"/>
        <n v="1.00374463180267E+21"/>
        <n v="1.04235019456431E+21"/>
        <n v="8.62190901676658E+20"/>
        <n v="9.7800758996158199E+20"/>
        <n v="9.9087611088212905E+20"/>
        <n v="9.0723072489857299E+20"/>
        <n v="9.5870480858076204E+20"/>
        <n v="9.3940202719994105E+20"/>
        <n v="9.8000176961416698E+20"/>
        <n v="1.05737033037318E+21"/>
        <n v="9.0908058891840494E+20"/>
        <n v="9.6710700948766497E+20"/>
        <n v="1.02513343005692E+21"/>
        <n v="1.06381771043643E+21"/>
        <n v="1.01868604999367E+21"/>
        <n v="8.5105416834914504E+20"/>
        <n v="1.0380281901834199E+21"/>
        <n v="1.05092295030992E+21"/>
        <n v="8.832910686654E+20"/>
        <n v="9.02633208855154E+20"/>
        <n v="9.6704876263246594E+20"/>
        <n v="9.4676102635346395E+20"/>
        <n v="1.04143712898881E+21"/>
        <n v="1.0820126015468101E+21"/>
        <n v="1.12935065286448E+21"/>
        <n v="1.14963838914349E+21"/>
        <n v="1.01438681395014E+21"/>
        <n v="8.1150945116011194E+20"/>
        <n v="9.5352360511313098E+20"/>
        <n v="1.03467455022914E+21"/>
        <n v="1.10230033782581E+21"/>
        <n v="8.6561008123745206E+20"/>
        <n v="1.0684874440274799E+21"/>
        <n v="1.1887493807897701E+21"/>
        <n v="1.08261104321926E+21"/>
        <n v="1.1462940457615699E+21"/>
        <n v="1.06138337570516E+21"/>
        <n v="1.01892804067695E+21"/>
        <n v="9.9770037316284999E+20"/>
        <n v="9.3401737062054101E+20"/>
        <n v="1.09676282156199E+21"/>
        <n v="1.16752171327567E+21"/>
        <n v="9.9062448399148306E+20"/>
        <n v="1.1392181565902E+21"/>
        <n v="1.06845926487652E+21"/>
        <n v="1.01976493647532E+21"/>
        <n v="8.84796047824181E+20"/>
        <n v="1.00476839329186E+21"/>
        <n v="1.1172424671678201E+21"/>
        <n v="9.2228740578283304E+20"/>
        <n v="1.03476147965878E+21"/>
        <n v="1.1097441955760899E+21"/>
        <n v="8.9979259100764203E+20"/>
        <n v="9.8977185010840594E+20"/>
        <n v="1.1022459239843599E+21"/>
        <n v="1.0872493808009E+21"/>
        <n v="1.13973728194301E+21"/>
        <n v="1.2672078990024201E+21"/>
        <n v="1.07975110920917E+21"/>
        <n v="1.11587406495614E+21"/>
        <n v="1.15963383220932E+21"/>
        <n v="1.2033935994624999E+21"/>
        <n v="1.01376794136538E+21"/>
        <n v="1.0867008867873499E+21"/>
        <n v="1.09399418132955E+21"/>
        <n v="1.03564782499197E+21"/>
        <n v="1.3054997230532601E+21"/>
        <n v="1.16692712675152E+21"/>
        <n v="1.0721142977029599E+21"/>
        <n v="1.18151371583591E+21"/>
        <n v="9.5367576270636895E+20"/>
        <n v="1.2405538376668199E+21"/>
        <n v="1.08548460795846E+21"/>
        <n v="1.0699776849876301E+21"/>
        <n v="1.2017865302397299E+21"/>
        <n v="1.1009915309293E+21"/>
        <n v="1.01570345458971E+21"/>
        <n v="9.3041537825011597E+20"/>
        <n v="1.09323806944388E+21"/>
        <n v="1.1862796072688901E+21"/>
        <n v="1.1354178932524E+21"/>
        <n v="1.09000117752231E+21"/>
        <n v="1.08243172490062E+21"/>
        <n v="1.20354296684755E+21"/>
        <n v="9.3861212508865705E+20"/>
        <n v="1.0067371986837999E+21"/>
        <n v="1.03701500917053E+21"/>
        <n v="9.9159829344043598E+20"/>
        <n v="1.1429873458740899E+21"/>
        <n v="1.07486227227894E+21"/>
        <n v="8.7048705149351205E+20"/>
        <n v="1.2413902299559601E+21"/>
        <n v="1.06131785821283E+21"/>
        <n v="1.11327048064283E+21"/>
        <n v="1.01678703898712E+21"/>
        <n v="1.2394411351156801E+21"/>
        <n v="9.8709982616997698E+20"/>
        <n v="9.42569006944264E+20"/>
        <n v="9.7967802296569194E+20"/>
        <n v="8.8319458130998002E+20"/>
        <n v="1.2097539222985399E+21"/>
        <n v="1.1874885126856801E+21"/>
        <n v="1.09842687423426E+21"/>
        <n v="9.5741261335283499E+20"/>
        <n v="1.15037949666426E+21"/>
        <n v="1.17869258414883E+21"/>
        <n v="1.06819015438488E+21"/>
        <n v="1.05345649708302E+21"/>
        <n v="9.4295406731906698E+20"/>
        <n v="9.8715503922464896E+20"/>
        <n v="1.08292381168674E+21"/>
        <n v="1.0166223538283701E+21"/>
        <n v="1.0608233257339501E+21"/>
        <n v="1.0239891824793E+21"/>
        <n v="1.1713257554979E+21"/>
        <n v="1.01705540761151E+21"/>
        <n v="1.1497148086043199E+21"/>
        <n v="1.00231547416787E+21"/>
        <n v="1.1423448418824999E+21"/>
        <n v="1.13497487516067E+21"/>
        <n v="8.77026039896887E+20"/>
        <n v="9.8020557400240397E+20"/>
        <n v="1.11286497499521E+21"/>
        <n v="1.0612752079424501E+21"/>
        <n v="1.0686451746642701E+21"/>
        <n v="9.7283560728058095E+20"/>
        <n v="9.5809567383693597E+20"/>
        <n v="1.08338510810792E+21"/>
        <n v="9.6111720920974806E+20"/>
        <n v="1.03392911899836E+21"/>
        <n v="1.1795529385755901E+21"/>
        <n v="8.8830529942113E+20"/>
        <n v="9.8296078214633305E+20"/>
        <n v="9.0286768137885398E+20"/>
        <n v="1.01208554606178E+21"/>
        <n v="9.4655482725202395E+20"/>
        <n v="1.08489745585039E+21"/>
        <n v="1.01936673704064E+21"/>
        <n v="1.09217864682925E+21"/>
        <n v="9.6839840018860894E+20"/>
        <n v="9.9752316410405598E+20"/>
        <n v="1.17227174759673E+21"/>
        <n v="9.8593037447046103E+20"/>
        <n v="6.9015126212932193E+20"/>
        <n v="7.6057486030578398E+20"/>
        <n v="8.7325261738812205E+20"/>
        <n v="8.5916789775282995E+20"/>
        <n v="7.7465957994107594E+20"/>
        <n v="9.0142205665870702E+20"/>
        <n v="9.2254913611164497E+20"/>
        <n v="9.7184565483516802E+20"/>
        <n v="8.3804081829989096E+20"/>
        <n v="8.3099845848224498E+20"/>
        <n v="9.29591495929292E+20"/>
        <n v="1.00001509410575E+21"/>
        <n v="8.9437969684106104E+20"/>
        <n v="1.02114217355869E+21"/>
        <n v="1.16903172972926E+21"/>
        <n v="1.06364966098268E+21"/>
        <n v="1.01985232200104E+21"/>
        <n v="9.0097383047945401E+20"/>
        <n v="9.8231174573107197E+20"/>
        <n v="1.10744699996432E+21"/>
        <n v="9.4477116946109406E+20"/>
        <n v="1.03862261013603E+21"/>
        <n v="1.23258225419758E+21"/>
        <n v="1.0949334745410001E+21"/>
        <n v="1.03236584742437E+21"/>
        <n v="9.5728469488442003E+20"/>
        <n v="9.9482527115439702E+20"/>
        <n v="9.8339743587666703E+20"/>
        <n v="8.5419193335272505E+20"/>
        <n v="1.17720568966257E+21"/>
        <n v="1.06235635408574E+21"/>
        <n v="1.1843837731361299E+21"/>
        <n v="1.11978102187416E+21"/>
        <n v="1.00493168629732E+21"/>
        <n v="1.01210976977087E+21"/>
        <n v="1.02646593671798E+21"/>
        <n v="1.06953443755929E+21"/>
        <n v="9.7621935240311498E+20"/>
        <n v="9.6186318545600997E+20"/>
        <n v="9.3315085156180099E+20"/>
        <n v="1.1915618566096801E+21"/>
        <n v="1.05267243203648E+21"/>
        <n v="9.5173123992339402E+20"/>
        <n v="9.6615141022526302E+20"/>
        <n v="9.9499175082900206E+20"/>
        <n v="1.0022018359799299E+21"/>
        <n v="9.3010098447058901E+20"/>
        <n v="8.7242030326311105E+20"/>
        <n v="9.2289089931965406E+20"/>
        <n v="9.0126064386684997E+20"/>
        <n v="9.1568081416871897E+20"/>
        <n v="9.1782329296114903E+20"/>
        <n v="1.07744473521526E+21"/>
        <n v="1.06414294836075E+21"/>
        <n v="8.3136167840683799E+20"/>
        <n v="1.01758669436997E+21"/>
        <n v="1.0973974154970199E+21"/>
        <n v="1.01093580094271E+21"/>
        <n v="1.15725545634231E+21"/>
        <n v="9.5772865352467795E+20"/>
        <n v="9.0452150610664004E+20"/>
        <n v="9.6437954695193205E+20"/>
        <n v="9.1186664979250505E+20"/>
        <n v="8.2896968162954995E+20"/>
        <n v="1.09838482815915E+21"/>
        <n v="8.8423432707152006E+20"/>
        <n v="9.5331513387398306E+20"/>
        <n v="1.02239594067644E+21"/>
        <n v="9.9476361795546002E+20"/>
        <n v="8.6351008503078099E+20"/>
        <n v="8.4969392367028902E+20"/>
        <n v="1.07075250543816E+21"/>
        <n v="1.13292523156038E+21"/>
        <n v="1.05002826339743E+21"/>
        <n v="9.74039375914722E+20"/>
        <n v="1.0312900545634799E+21"/>
        <n v="1.0649923439283E+21"/>
        <n v="8.7625952348531196E+20"/>
        <n v="9.0996181285013199E+20"/>
        <n v="8.8299998135827602E+20"/>
        <n v="8.15595402628637E+20"/>
        <n v="1.00432822307162E+21"/>
        <n v="9.4366410221495203E+20"/>
        <n v="9.3018318646902404E+20"/>
        <n v="9.3692364434198797E+20"/>
        <n v="8.5603814986642096E+20"/>
        <n v="8.9558983692003299E+20"/>
        <n v="1.0009533471459101E+21"/>
        <n v="9.8119768897856497E+20"/>
        <n v="9.8778290836768306E+20"/>
        <n v="9.2851593386562198E+20"/>
        <n v="9.3510115325473994E+20"/>
        <n v="9.6802725020032906E+20"/>
        <n v="1.12607251553915E+21"/>
        <n v="1.08656119920445E+21"/>
        <n v="8.8241939814179694E+20"/>
        <m/>
      </sharedItems>
    </cacheField>
    <cacheField name="Months (DateTime)" numFmtId="0" databaseField="0">
      <fieldGroup base="0">
        <rangePr groupBy="months" startDate="2009-01-03T00:00:00" endDate="2026-05-13T00:00:00"/>
        <groupItems count="14">
          <s v="&lt;2009-01-0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3"/>
        </groupItems>
      </fieldGroup>
    </cacheField>
    <cacheField name="Quarters (DateTime)" numFmtId="0" databaseField="0">
      <fieldGroup base="0">
        <rangePr groupBy="quarters" startDate="2009-01-03T00:00:00" endDate="2026-05-13T00:00:00"/>
        <groupItems count="6">
          <s v="&lt;2009-01-03"/>
          <s v="Qtr1"/>
          <s v="Qtr2"/>
          <s v="Qtr3"/>
          <s v="Qtr4"/>
          <s v="&gt;2026-05-13"/>
        </groupItems>
      </fieldGroup>
    </cacheField>
    <cacheField name="Years (DateTime)" numFmtId="0" databaseField="0">
      <fieldGroup base="0">
        <rangePr groupBy="years" startDate="2009-01-03T00:00:00" endDate="2026-05-13T00:00:00"/>
        <groupItems count="20">
          <s v="&lt;2009-01-03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edBy="user" refreshedDate="46157.8039125" createdVersion="8" refreshedVersion="8" minRefreshableVersion="3" recordCount="5764" xr:uid="{7214084D-D25D-4567-8364-F255850FD994}">
  <cacheSource type="worksheet">
    <worksheetSource name="BitcoinVisuals_com_chart"/>
  </cacheSource>
  <cacheFields count="6">
    <cacheField name="DateTime" numFmtId="22">
      <sharedItems containsSemiMixedTypes="0" containsNonDate="0" containsDate="1" containsString="0" minDate="2010-07-17T00:00:00" maxDate="2026-05-14T00:00:00" count="5764">
        <d v="2010-07-17T00:00:00"/>
        <d v="2010-07-18T00:00:00"/>
        <d v="2010-07-19T00:00:00"/>
        <d v="2010-07-20T00:00:00"/>
        <d v="2010-07-21T00:00:00"/>
        <d v="2010-07-22T00:00:00"/>
        <d v="2010-07-23T00:00:00"/>
        <d v="2010-07-24T00:00:00"/>
        <d v="2010-07-25T00:00:00"/>
        <d v="2010-07-26T00:00:00"/>
        <d v="2010-07-27T00:00:00"/>
        <d v="2010-07-28T00:00:00"/>
        <d v="2010-07-29T00:00:00"/>
        <d v="2010-07-30T00:00:00"/>
        <d v="2010-07-31T00:00:00"/>
        <d v="2010-08-01T00:00:00"/>
        <d v="2010-08-02T00:00:00"/>
        <d v="2010-08-03T00:00:00"/>
        <d v="2010-08-04T00:00:00"/>
        <d v="2010-08-05T00:00:00"/>
        <d v="2010-08-06T00:00:00"/>
        <d v="2010-08-07T00:00:00"/>
        <d v="2010-08-08T00:00:00"/>
        <d v="2010-08-09T00:00:00"/>
        <d v="2010-08-10T00:00:00"/>
        <d v="2010-08-11T00:00:00"/>
        <d v="2010-08-12T00:00:00"/>
        <d v="2010-08-13T00:00:00"/>
        <d v="2010-08-14T00:00:00"/>
        <d v="2010-08-15T00:00:00"/>
        <d v="2010-08-16T00:00:00"/>
        <d v="2010-08-17T00:00:00"/>
        <d v="2010-08-18T00:00:00"/>
        <d v="2010-08-19T00:00:00"/>
        <d v="2010-08-20T00:00:00"/>
        <d v="2010-08-21T00:00:00"/>
        <d v="2010-08-22T00:00:00"/>
        <d v="2010-08-23T00:00:00"/>
        <d v="2010-08-24T00:00:00"/>
        <d v="2010-08-25T00:00:00"/>
        <d v="2010-08-26T00:00:00"/>
        <d v="2010-08-27T00:00:00"/>
        <d v="2010-08-28T00:00:00"/>
        <d v="2010-08-29T00:00:00"/>
        <d v="2010-08-30T00:00:00"/>
        <d v="2010-08-31T00:00:00"/>
        <d v="2010-09-01T00:00:00"/>
        <d v="2010-09-02T00:00:00"/>
        <d v="2010-09-03T00:00:00"/>
        <d v="2010-09-04T00:00:00"/>
        <d v="2010-09-05T00:00:00"/>
        <d v="2010-09-06T00:00:00"/>
        <d v="2010-09-07T00:00:00"/>
        <d v="2010-09-08T00:00:00"/>
        <d v="2010-09-09T00:00:00"/>
        <d v="2010-09-10T00:00:00"/>
        <d v="2010-09-11T00:00:00"/>
        <d v="2010-09-12T00:00:00"/>
        <d v="2010-09-13T00:00:00"/>
        <d v="2010-09-14T00:00:00"/>
        <d v="2010-09-15T00:00:00"/>
        <d v="2010-09-16T00:00:00"/>
        <d v="2010-09-17T00:00:00"/>
        <d v="2010-09-18T00:00:00"/>
        <d v="2010-09-19T00:00:00"/>
        <d v="2010-09-20T00:00:00"/>
        <d v="2010-09-21T00:00:00"/>
        <d v="2010-09-22T00:00:00"/>
        <d v="2010-09-23T00:00:00"/>
        <d v="2010-09-24T00:00:00"/>
        <d v="2010-09-25T00:00:00"/>
        <d v="2010-09-26T00:00:00"/>
        <d v="2010-09-27T00:00:00"/>
        <d v="2010-09-28T00:00:00"/>
        <d v="2010-09-29T00:00:00"/>
        <d v="2010-09-30T00:00:00"/>
        <d v="2010-10-01T00:00:00"/>
        <d v="2010-10-02T00:00:00"/>
        <d v="2010-10-03T00:00:00"/>
        <d v="2010-10-04T00:00:00"/>
        <d v="2010-10-05T00:00:00"/>
        <d v="2010-10-06T00:00:00"/>
        <d v="2010-10-07T00:00:00"/>
        <d v="2010-10-08T00:00:00"/>
        <d v="2010-10-09T00:00:00"/>
        <d v="2010-10-10T00:00:00"/>
        <d v="2010-10-11T00:00:00"/>
        <d v="2010-10-12T00:00:00"/>
        <d v="2010-10-13T00:00:00"/>
        <d v="2010-10-14T00:00:00"/>
        <d v="2010-10-15T00:00:00"/>
        <d v="2010-10-16T00:00:00"/>
        <d v="2010-10-17T00:00:00"/>
        <d v="2010-10-18T00:00:00"/>
        <d v="2010-10-19T00:00:00"/>
        <d v="2010-10-20T00:00:00"/>
        <d v="2010-10-21T00:00:00"/>
        <d v="2010-10-22T00:00:00"/>
        <d v="2010-10-23T00:00:00"/>
        <d v="2010-10-24T00:00:00"/>
        <d v="2010-10-25T00:00:00"/>
        <d v="2010-10-26T00:00:00"/>
        <d v="2010-10-27T00:00:00"/>
        <d v="2010-10-28T00:00:00"/>
        <d v="2010-10-29T00:00:00"/>
        <d v="2010-10-30T00:00:00"/>
        <d v="2010-10-31T00:00:00"/>
        <d v="2010-11-01T00:00:00"/>
        <d v="2010-11-02T00:00:00"/>
        <d v="2010-11-03T00:00:00"/>
        <d v="2010-11-04T00:00:00"/>
        <d v="2010-11-05T00:00:00"/>
        <d v="2010-11-06T00:00:00"/>
        <d v="2010-11-07T00:00:00"/>
        <d v="2010-11-08T00:00:00"/>
        <d v="2010-11-09T00:00:00"/>
        <d v="2010-11-10T00:00:00"/>
        <d v="2010-11-11T00:00:00"/>
        <d v="2010-11-12T00:00:00"/>
        <d v="2010-11-13T00:00:00"/>
        <d v="2010-11-14T00:00:00"/>
        <d v="2010-11-15T00:00:00"/>
        <d v="2010-11-16T00:00:00"/>
        <d v="2010-11-17T00:00:00"/>
        <d v="2010-11-18T00:00:00"/>
        <d v="2010-11-19T00:00:00"/>
        <d v="2010-11-20T00:00:00"/>
        <d v="2010-11-21T00:00:00"/>
        <d v="2010-11-22T00:00:00"/>
        <d v="2010-11-23T00:00:00"/>
        <d v="2010-11-24T00:00:00"/>
        <d v="2010-11-25T00:00:00"/>
        <d v="2010-11-26T00:00:00"/>
        <d v="2010-11-27T00:00:00"/>
        <d v="2010-11-28T00:00:00"/>
        <d v="2010-11-29T00:00:00"/>
        <d v="2010-11-30T00:00:00"/>
        <d v="2010-12-01T00:00:00"/>
        <d v="2010-12-02T00:00:00"/>
        <d v="2010-12-03T00:00:00"/>
        <d v="2010-12-04T00:00:00"/>
        <d v="2010-12-05T00:00:00"/>
        <d v="2010-12-06T00:00:00"/>
        <d v="2010-12-07T00:00:00"/>
        <d v="2010-12-08T00:00:00"/>
        <d v="2010-12-09T00:00:00"/>
        <d v="2010-12-10T00:00:00"/>
        <d v="2010-12-11T00:00:00"/>
        <d v="2010-12-12T00:00:00"/>
        <d v="2010-12-13T00:00:00"/>
        <d v="2010-12-14T00:00:00"/>
        <d v="2010-12-15T00:00:00"/>
        <d v="2010-12-16T00:00:00"/>
        <d v="2010-12-17T00:00:00"/>
        <d v="2010-12-18T00:00:00"/>
        <d v="2010-12-19T00:00:00"/>
        <d v="2010-12-20T00:00:00"/>
        <d v="2010-12-21T00:00:00"/>
        <d v="2010-12-22T00:00:00"/>
        <d v="2010-12-23T00:00:00"/>
        <d v="2010-12-24T00:00:00"/>
        <d v="2010-12-25T00:00:00"/>
        <d v="2010-12-26T00:00:00"/>
        <d v="2010-12-27T00:00:00"/>
        <d v="2010-12-28T00:00:00"/>
        <d v="2010-12-29T00:00:00"/>
        <d v="2010-12-30T00:00:00"/>
        <d v="2010-12-31T00:00:00"/>
        <d v="2011-01-01T00:00:00"/>
        <d v="2011-01-02T00:00:00"/>
        <d v="2011-01-03T00:00:00"/>
        <d v="2011-01-04T00:00:00"/>
        <d v="2011-01-05T00:00:00"/>
        <d v="2011-01-06T00:00:00"/>
        <d v="2011-01-07T00:00:00"/>
        <d v="2011-01-08T00:00:00"/>
        <d v="2011-01-09T00:00:00"/>
        <d v="2011-01-10T00:00:00"/>
        <d v="2011-01-11T00:00:00"/>
        <d v="2011-01-12T00:00:00"/>
        <d v="2011-01-13T00:00:00"/>
        <d v="2011-01-14T00:00:00"/>
        <d v="2011-01-15T00:00:00"/>
        <d v="2011-01-16T00:00:00"/>
        <d v="2011-01-17T00:00:00"/>
        <d v="2011-01-18T00:00:00"/>
        <d v="2011-01-19T00:00:00"/>
        <d v="2011-01-20T00:00:00"/>
        <d v="2011-01-21T00:00:00"/>
        <d v="2011-01-22T00:00:00"/>
        <d v="2011-01-23T00:00:00"/>
        <d v="2011-01-24T00:00:00"/>
        <d v="2011-01-25T00:00:00"/>
        <d v="2011-01-26T00:00:00"/>
        <d v="2011-01-27T00:00:00"/>
        <d v="2011-01-28T00:00:00"/>
        <d v="2011-01-29T00:00:00"/>
        <d v="2011-01-30T00:00:00"/>
        <d v="2011-01-31T00:00:00"/>
        <d v="2011-02-01T00:00:00"/>
        <d v="2011-02-02T00:00:00"/>
        <d v="2011-02-03T00:00:00"/>
        <d v="2011-02-04T00:00:00"/>
        <d v="2011-02-05T00:00:00"/>
        <d v="2011-02-06T00:00:00"/>
        <d v="2011-02-07T00:00:00"/>
        <d v="2011-02-08T00:00:00"/>
        <d v="2011-02-09T00:00:00"/>
        <d v="2011-02-10T00:00:00"/>
        <d v="2011-02-11T00:00:00"/>
        <d v="2011-02-12T00:00:00"/>
        <d v="2011-02-13T00:00:00"/>
        <d v="2011-02-14T00:00:00"/>
        <d v="2011-02-15T00:00:00"/>
        <d v="2011-02-16T00:00:00"/>
        <d v="2011-02-17T00:00:00"/>
        <d v="2011-02-18T00:00:00"/>
        <d v="2011-02-19T00:00:00"/>
        <d v="2011-02-20T00:00:00"/>
        <d v="2011-02-21T00:00:00"/>
        <d v="2011-02-22T00:00:00"/>
        <d v="2011-02-23T00:00:00"/>
        <d v="2011-02-24T00:00:00"/>
        <d v="2011-02-25T00:00:00"/>
        <d v="2011-02-26T00:00:00"/>
        <d v="2011-02-27T00:00:00"/>
        <d v="2011-02-28T00:00:00"/>
        <d v="2011-03-01T00:00:00"/>
        <d v="2011-03-02T00:00:00"/>
        <d v="2011-03-03T00:00:00"/>
        <d v="2011-03-04T00:00:00"/>
        <d v="2011-03-05T00:00:00"/>
        <d v="2011-03-06T00:00:00"/>
        <d v="2011-03-07T00:00:00"/>
        <d v="2011-03-08T00:00:00"/>
        <d v="2011-03-09T00:00:00"/>
        <d v="2011-03-10T00:00:00"/>
        <d v="2011-03-11T00:00:00"/>
        <d v="2011-03-12T00:00:00"/>
        <d v="2011-03-13T00:00:00"/>
        <d v="2011-03-14T00:00:00"/>
        <d v="2011-03-15T00:00:00"/>
        <d v="2011-03-16T00:00:00"/>
        <d v="2011-03-17T00:00:00"/>
        <d v="2011-03-18T00:00:00"/>
        <d v="2011-03-19T00:00:00"/>
        <d v="2011-03-20T00:00:00"/>
        <d v="2011-03-21T00:00:00"/>
        <d v="2011-03-22T00:00:00"/>
        <d v="2011-03-23T00:00:00"/>
        <d v="2011-03-24T00:00:00"/>
        <d v="2011-03-25T00:00:00"/>
        <d v="2011-03-26T00:00:00"/>
        <d v="2011-03-27T00:00:00"/>
        <d v="2011-03-28T00:00:00"/>
        <d v="2011-03-29T00:00:00"/>
        <d v="2011-03-30T00:00:00"/>
        <d v="2011-03-31T00:00:00"/>
        <d v="2011-04-01T00:00:00"/>
        <d v="2011-04-02T00:00:00"/>
        <d v="2011-04-03T00:00:00"/>
        <d v="2011-04-04T00:00:00"/>
        <d v="2011-04-05T00:00:00"/>
        <d v="2011-04-06T00:00:00"/>
        <d v="2011-04-07T00:00:00"/>
        <d v="2011-04-08T00:00:00"/>
        <d v="2011-04-09T00:00:00"/>
        <d v="2011-04-10T00:00:00"/>
        <d v="2011-04-11T00:00:00"/>
        <d v="2011-04-12T00:00:00"/>
        <d v="2011-04-13T00:00:00"/>
        <d v="2011-04-14T00:00:00"/>
        <d v="2011-04-15T00:00:00"/>
        <d v="2011-04-16T00:00:00"/>
        <d v="2011-04-17T00:00:00"/>
        <d v="2011-04-18T00:00:00"/>
        <d v="2011-04-19T00:00:00"/>
        <d v="2011-04-20T00:00:00"/>
        <d v="2011-04-21T00:00:00"/>
        <d v="2011-04-22T00:00:00"/>
        <d v="2011-04-23T00:00:00"/>
        <d v="2011-04-24T00:00:00"/>
        <d v="2011-04-25T00:00:00"/>
        <d v="2011-04-26T00:00:00"/>
        <d v="2011-04-27T00:00:00"/>
        <d v="2011-04-28T00:00:00"/>
        <d v="2011-04-29T00:00:00"/>
        <d v="2011-04-30T00:00:00"/>
        <d v="2011-05-01T00:00:00"/>
        <d v="2011-05-02T00:00:00"/>
        <d v="2011-05-03T00:00:00"/>
        <d v="2011-05-04T00:00:00"/>
        <d v="2011-05-05T00:00:00"/>
        <d v="2011-05-06T00:00:00"/>
        <d v="2011-05-07T00:00:00"/>
        <d v="2011-05-08T00:00:00"/>
        <d v="2011-05-09T00:00:00"/>
        <d v="2011-05-10T00:00:00"/>
        <d v="2011-05-11T00:00:00"/>
        <d v="2011-05-12T00:00:00"/>
        <d v="2011-05-13T00:00:00"/>
        <d v="2011-05-14T00:00:00"/>
        <d v="2011-05-15T00:00:00"/>
        <d v="2011-05-16T00:00:00"/>
        <d v="2011-05-17T00:00:00"/>
        <d v="2011-05-18T00:00:00"/>
        <d v="2011-05-19T00:00:00"/>
        <d v="2011-05-20T00:00:00"/>
        <d v="2011-05-21T00:00:00"/>
        <d v="2011-05-22T00:00:00"/>
        <d v="2011-05-23T00:00:00"/>
        <d v="2011-05-24T00:00:00"/>
        <d v="2011-05-25T00:00:00"/>
        <d v="2011-05-26T00:00:00"/>
        <d v="2011-05-27T00:00:00"/>
        <d v="2011-05-28T00:00:00"/>
        <d v="2011-05-29T00:00:00"/>
        <d v="2011-05-30T00:00:00"/>
        <d v="2011-05-31T00:00:00"/>
        <d v="2011-06-01T00:00:00"/>
        <d v="2011-06-02T00:00:00"/>
        <d v="2011-06-03T00:00:00"/>
        <d v="2011-06-04T00:00:00"/>
        <d v="2011-06-05T00:00:00"/>
        <d v="2011-06-06T00:00:00"/>
        <d v="2011-06-07T00:00:00"/>
        <d v="2011-06-08T00:00:00"/>
        <d v="2011-06-09T00:00:00"/>
        <d v="2011-06-10T00:00:00"/>
        <d v="2011-06-11T00:00:00"/>
        <d v="2011-06-12T00:00:00"/>
        <d v="2011-06-13T00:00:00"/>
        <d v="2011-06-14T00:00:00"/>
        <d v="2011-06-15T00:00:00"/>
        <d v="2011-06-16T00:00:00"/>
        <d v="2011-06-17T00:00:00"/>
        <d v="2011-06-18T00:00:00"/>
        <d v="2011-06-19T00:00:00"/>
        <d v="2011-06-20T00:00:00"/>
        <d v="2011-06-21T00:00:00"/>
        <d v="2011-06-22T00:00:00"/>
        <d v="2011-06-23T00:00:00"/>
        <d v="2011-06-24T00:00:00"/>
        <d v="2011-06-25T00:00:00"/>
        <d v="2011-06-26T00:00:00"/>
        <d v="2011-06-27T00:00:00"/>
        <d v="2011-06-28T00:00:00"/>
        <d v="2011-06-29T00:00:00"/>
        <d v="2011-06-30T00:00:00"/>
        <d v="2011-07-01T00:00:00"/>
        <d v="2011-07-02T00:00:00"/>
        <d v="2011-07-03T00:00:00"/>
        <d v="2011-07-04T00:00:00"/>
        <d v="2011-07-05T00:00:00"/>
        <d v="2011-07-06T00:00:00"/>
        <d v="2011-07-07T00:00:00"/>
        <d v="2011-07-08T00:00:00"/>
        <d v="2011-07-09T00:00:00"/>
        <d v="2011-07-10T00:00:00"/>
        <d v="2011-07-11T00:00:00"/>
        <d v="2011-07-12T00:00:00"/>
        <d v="2011-07-13T00:00:00"/>
        <d v="2011-07-14T00:00:00"/>
        <d v="2011-07-15T00:00:00"/>
        <d v="2011-07-16T00:00:00"/>
        <d v="2011-07-17T00:00:00"/>
        <d v="2011-07-18T00:00:00"/>
        <d v="2011-07-19T00:00:00"/>
        <d v="2011-07-20T00:00:00"/>
        <d v="2011-07-21T00:00:00"/>
        <d v="2011-07-22T00:00:00"/>
        <d v="2011-07-23T00:00:00"/>
        <d v="2011-07-24T00:00:00"/>
        <d v="2011-07-25T00:00:00"/>
        <d v="2011-07-26T00:00:00"/>
        <d v="2011-07-27T00:00:00"/>
        <d v="2011-07-28T00:00:00"/>
        <d v="2011-07-29T00:00:00"/>
        <d v="2011-07-30T00:00:00"/>
        <d v="2011-07-31T00:00:00"/>
        <d v="2011-08-01T00:00:00"/>
        <d v="2011-08-02T00:00:00"/>
        <d v="2011-08-03T00:00:00"/>
        <d v="2011-08-04T00:00:00"/>
        <d v="2011-08-05T00:00:00"/>
        <d v="2011-08-06T00:00:00"/>
        <d v="2011-08-07T00:00:00"/>
        <d v="2011-08-08T00:00:00"/>
        <d v="2011-08-09T00:00:00"/>
        <d v="2011-08-10T00:00:00"/>
        <d v="2011-08-11T00:00:00"/>
        <d v="2011-08-12T00:00:00"/>
        <d v="2011-08-13T00:00:00"/>
        <d v="2011-08-14T00:00:00"/>
        <d v="2011-08-15T00:00:00"/>
        <d v="2011-08-16T00:00:00"/>
        <d v="2011-08-17T00:00:00"/>
        <d v="2011-08-18T00:00:00"/>
        <d v="2011-08-19T00:00:00"/>
        <d v="2011-08-20T00:00:00"/>
        <d v="2011-08-21T00:00:00"/>
        <d v="2011-08-22T00:00:00"/>
        <d v="2011-08-23T00:00:00"/>
        <d v="2011-08-24T00:00:00"/>
        <d v="2011-08-25T00:00:00"/>
        <d v="2011-08-26T00:00:00"/>
        <d v="2011-08-27T00:00:00"/>
        <d v="2011-08-28T00:00:00"/>
        <d v="2011-08-29T00:00:00"/>
        <d v="2011-08-30T00:00:00"/>
        <d v="2011-08-31T00:00:00"/>
        <d v="2011-09-01T00:00:00"/>
        <d v="2011-09-02T00:00:00"/>
        <d v="2011-09-03T00:00:00"/>
        <d v="2011-09-04T00:00:00"/>
        <d v="2011-09-05T00:00:00"/>
        <d v="2011-09-06T00:00:00"/>
        <d v="2011-09-07T00:00:00"/>
        <d v="2011-09-08T00:00:00"/>
        <d v="2011-09-09T00:00:00"/>
        <d v="2011-09-10T00:00:00"/>
        <d v="2011-09-11T00:00:00"/>
        <d v="2011-09-12T00:00:00"/>
        <d v="2011-09-13T00:00:00"/>
        <d v="2011-09-14T00:00:00"/>
        <d v="2011-09-15T00:00:00"/>
        <d v="2011-09-16T00:00:00"/>
        <d v="2011-09-17T00:00:00"/>
        <d v="2011-09-18T00:00:00"/>
        <d v="2011-09-19T00:00:00"/>
        <d v="2011-09-20T00:00:00"/>
        <d v="2011-09-21T00:00:00"/>
        <d v="2011-09-22T00:00:00"/>
        <d v="2011-09-23T00:00:00"/>
        <d v="2011-09-24T00:00:00"/>
        <d v="2011-09-25T00:00:00"/>
        <d v="2011-09-26T00:00:00"/>
        <d v="2011-09-27T00:00:00"/>
        <d v="2011-09-28T00:00:00"/>
        <d v="2011-09-29T00:00:00"/>
        <d v="2011-09-30T00:00:00"/>
        <d v="2011-10-01T00:00:00"/>
        <d v="2011-10-02T00:00:00"/>
        <d v="2011-10-03T00:00:00"/>
        <d v="2011-10-04T00:00:00"/>
        <d v="2011-10-05T00:00:00"/>
        <d v="2011-10-06T00:00:00"/>
        <d v="2011-10-07T00:00:00"/>
        <d v="2011-10-08T00:00:00"/>
        <d v="2011-10-09T00:00:00"/>
        <d v="2011-10-10T00:00:00"/>
        <d v="2011-10-11T00:00:00"/>
        <d v="2011-10-12T00:00:00"/>
        <d v="2011-10-13T00:00:00"/>
        <d v="2011-10-14T00:00:00"/>
        <d v="2011-10-15T00:00:00"/>
        <d v="2011-10-16T00:00:00"/>
        <d v="2011-10-17T00:00:00"/>
        <d v="2011-10-18T00:00:00"/>
        <d v="2011-10-19T00:00:00"/>
        <d v="2011-10-20T00:00:00"/>
        <d v="2011-10-21T00:00:00"/>
        <d v="2011-10-22T00:00:00"/>
        <d v="2011-10-23T00:00:00"/>
        <d v="2011-10-24T00:00:00"/>
        <d v="2011-10-25T00:00:00"/>
        <d v="2011-10-26T00:00:00"/>
        <d v="2011-10-27T00:00:00"/>
        <d v="2011-10-28T00:00:00"/>
        <d v="2011-10-29T00:00:00"/>
        <d v="2011-10-30T00:00:00"/>
        <d v="2011-10-31T00:00:00"/>
        <d v="2011-11-01T00:00:00"/>
        <d v="2011-11-02T00:00:00"/>
        <d v="2011-11-03T00:00:00"/>
        <d v="2011-11-04T00:00:00"/>
        <d v="2011-11-05T00:00:00"/>
        <d v="2011-11-06T00:00:00"/>
        <d v="2011-11-07T00:00:00"/>
        <d v="2011-11-08T00:00:00"/>
        <d v="2011-11-09T00:00:00"/>
        <d v="2011-11-10T00:00:00"/>
        <d v="2011-11-11T00:00:00"/>
        <d v="2011-11-12T00:00:00"/>
        <d v="2011-11-13T00:00:00"/>
        <d v="2011-11-14T00:00:00"/>
        <d v="2011-11-15T00:00:00"/>
        <d v="2011-11-16T00:00:00"/>
        <d v="2011-11-17T00:00:00"/>
        <d v="2011-11-18T00:00:00"/>
        <d v="2011-11-19T00:00:00"/>
        <d v="2011-11-20T00:00:00"/>
        <d v="2011-11-21T00:00:00"/>
        <d v="2011-11-22T00:00:00"/>
        <d v="2011-11-23T00:00:00"/>
        <d v="2011-11-24T00:00:00"/>
        <d v="2011-11-25T00:00:00"/>
        <d v="2011-11-26T00:00:00"/>
        <d v="2011-11-27T00:00:00"/>
        <d v="2011-11-28T00:00:00"/>
        <d v="2011-11-29T00:00:00"/>
        <d v="2011-11-30T00:00:00"/>
        <d v="2011-12-01T00:00:00"/>
        <d v="2011-12-02T00:00:00"/>
        <d v="2011-12-03T00:00:00"/>
        <d v="2011-12-04T00:00:00"/>
        <d v="2011-12-05T00:00:00"/>
        <d v="2011-12-06T00:00:00"/>
        <d v="2011-12-07T00:00:00"/>
        <d v="2011-12-08T00:00:00"/>
        <d v="2011-12-09T00:00:00"/>
        <d v="2011-12-10T00:00:00"/>
        <d v="2011-12-11T00:00:00"/>
        <d v="2011-12-12T00:00:00"/>
        <d v="2011-12-13T00:00:00"/>
        <d v="2011-12-14T00:00:00"/>
        <d v="2011-12-15T00:00:00"/>
        <d v="2011-12-16T00:00:00"/>
        <d v="2011-12-17T00:00:00"/>
        <d v="2011-12-18T00:00:00"/>
        <d v="2011-12-19T00:00:00"/>
        <d v="2011-12-20T00:00:00"/>
        <d v="2011-12-21T00:00:00"/>
        <d v="2011-12-22T00:00:00"/>
        <d v="2011-12-23T00:00:00"/>
        <d v="2011-12-24T00:00:00"/>
        <d v="2011-12-25T00:00:00"/>
        <d v="2011-12-26T00:00:00"/>
        <d v="2011-12-27T00:00:00"/>
        <d v="2011-12-28T00:00:00"/>
        <d v="2011-12-29T00:00:00"/>
        <d v="2011-12-30T00:00:00"/>
        <d v="2011-12-31T00:00:00"/>
        <d v="2012-01-01T00:00:00"/>
        <d v="2012-01-02T00:00:00"/>
        <d v="2012-01-03T00:00:00"/>
        <d v="2012-01-04T00:00:00"/>
        <d v="2012-01-05T00:00:00"/>
        <d v="2012-01-06T00:00:00"/>
        <d v="2012-01-07T00:00:00"/>
        <d v="2012-01-08T00:00:00"/>
        <d v="2012-01-09T00:00:00"/>
        <d v="2012-01-10T00:00:00"/>
        <d v="2012-01-11T00:00:00"/>
        <d v="2012-01-12T00:00:00"/>
        <d v="2012-01-13T00:00:00"/>
        <d v="2012-01-14T00:00:00"/>
        <d v="2012-01-15T00:00:00"/>
        <d v="2012-01-16T00:00:00"/>
        <d v="2012-01-17T00:00:00"/>
        <d v="2012-01-18T00:00:00"/>
        <d v="2012-01-19T00:00:00"/>
        <d v="2012-01-20T00:00:00"/>
        <d v="2012-01-21T00:00:00"/>
        <d v="2012-01-22T00:00:00"/>
        <d v="2012-01-23T00:00:00"/>
        <d v="2012-01-24T00:00:00"/>
        <d v="2012-01-25T00:00:00"/>
        <d v="2012-01-26T00:00:00"/>
        <d v="2012-01-27T00:00:00"/>
        <d v="2012-01-28T00:00:00"/>
        <d v="2012-01-29T00:00:00"/>
        <d v="2012-01-30T00:00:00"/>
        <d v="2012-01-31T00:00:00"/>
        <d v="2012-02-01T00:00:00"/>
        <d v="2012-02-02T00:00:00"/>
        <d v="2012-02-03T00:00:00"/>
        <d v="2012-02-04T00:00:00"/>
        <d v="2012-02-05T00:00:00"/>
        <d v="2012-02-06T00:00:00"/>
        <d v="2012-02-07T00:00:00"/>
        <d v="2012-02-08T00:00:00"/>
        <d v="2012-02-09T00:00:00"/>
        <d v="2012-02-10T00:00:00"/>
        <d v="2012-02-11T00:00:00"/>
        <d v="2012-02-12T00:00:00"/>
        <d v="2012-02-13T00:00:00"/>
        <d v="2012-02-14T00:00:00"/>
        <d v="2012-02-15T00:00:00"/>
        <d v="2012-02-16T00:00:00"/>
        <d v="2012-02-17T00:00:00"/>
        <d v="2012-02-18T00:00:00"/>
        <d v="2012-02-19T00:00:00"/>
        <d v="2012-02-20T00:00:00"/>
        <d v="2012-02-21T00:00:00"/>
        <d v="2012-02-22T00:00:00"/>
        <d v="2012-02-23T00:00:00"/>
        <d v="2012-02-24T00:00:00"/>
        <d v="2012-02-25T00:00:00"/>
        <d v="2012-02-26T00:00:00"/>
        <d v="2012-02-27T00:00:00"/>
        <d v="2012-02-28T00:00:00"/>
        <d v="2012-02-29T00:00:00"/>
        <d v="2012-03-01T00:00:00"/>
        <d v="2012-03-02T00:00:00"/>
        <d v="2012-03-03T00:00:00"/>
        <d v="2012-03-04T00:00:00"/>
        <d v="2012-03-05T00:00:00"/>
        <d v="2012-03-06T00:00:00"/>
        <d v="2012-03-07T00:00:00"/>
        <d v="2012-03-08T00:00:00"/>
        <d v="2012-03-09T00:00:00"/>
        <d v="2012-03-10T00:00:00"/>
        <d v="2012-03-11T00:00:00"/>
        <d v="2012-03-12T00:00:00"/>
        <d v="2012-03-13T00:00:00"/>
        <d v="2012-03-14T00:00:00"/>
        <d v="2012-03-15T00:00:00"/>
        <d v="2012-03-16T00:00:00"/>
        <d v="2012-03-17T00:00:00"/>
        <d v="2012-03-18T00:00:00"/>
        <d v="2012-03-19T00:00:00"/>
        <d v="2012-03-20T00:00:00"/>
        <d v="2012-03-21T00:00:00"/>
        <d v="2012-03-22T00:00:00"/>
        <d v="2012-03-23T00:00:00"/>
        <d v="2012-03-24T00:00:00"/>
        <d v="2012-03-25T00:00:00"/>
        <d v="2012-03-26T00:00:00"/>
        <d v="2012-03-27T00:00:00"/>
        <d v="2012-03-28T00:00:00"/>
        <d v="2012-03-29T00:00:00"/>
        <d v="2012-03-30T00:00:00"/>
        <d v="2012-03-31T00:00:00"/>
        <d v="2012-04-01T00:00:00"/>
        <d v="2012-04-02T00:00:00"/>
        <d v="2012-04-03T00:00:00"/>
        <d v="2012-04-04T00:00:00"/>
        <d v="2012-04-05T00:00:00"/>
        <d v="2012-04-06T00:00:00"/>
        <d v="2012-04-07T00:00:00"/>
        <d v="2012-04-08T00:00:00"/>
        <d v="2012-04-09T00:00:00"/>
        <d v="2012-04-10T00:00:00"/>
        <d v="2012-04-11T00:00:00"/>
        <d v="2012-04-12T00:00:00"/>
        <d v="2012-04-13T00:00:00"/>
        <d v="2012-04-14T00:00:00"/>
        <d v="2012-04-15T00:00:00"/>
        <d v="2012-04-16T00:00:00"/>
        <d v="2012-04-17T00:00:00"/>
        <d v="2012-04-18T00:00:00"/>
        <d v="2012-04-19T00:00:00"/>
        <d v="2012-04-20T00:00:00"/>
        <d v="2012-04-21T00:00:00"/>
        <d v="2012-04-22T00:00:00"/>
        <d v="2012-04-23T00:00:00"/>
        <d v="2012-04-24T00:00:00"/>
        <d v="2012-04-25T00:00:00"/>
        <d v="2012-04-26T00:00:00"/>
        <d v="2012-04-27T00:00:00"/>
        <d v="2012-04-28T00:00:00"/>
        <d v="2012-04-29T00:00:00"/>
        <d v="2012-04-30T00:00:00"/>
        <d v="2012-05-01T00:00:00"/>
        <d v="2012-05-02T00:00:00"/>
        <d v="2012-05-03T00:00:00"/>
        <d v="2012-05-04T00:00:00"/>
        <d v="2012-05-05T00:00:00"/>
        <d v="2012-05-06T00:00:00"/>
        <d v="2012-05-07T00:00:00"/>
        <d v="2012-05-08T00:00:00"/>
        <d v="2012-05-09T00:00:00"/>
        <d v="2012-05-10T00:00:00"/>
        <d v="2012-05-11T00:00:00"/>
        <d v="2012-05-12T00:00:00"/>
        <d v="2012-05-13T00:00:00"/>
        <d v="2012-05-14T00:00:00"/>
        <d v="2012-05-15T00:00:00"/>
        <d v="2012-05-16T00:00:00"/>
        <d v="2012-05-17T00:00:00"/>
        <d v="2012-05-18T00:00:00"/>
        <d v="2012-05-19T00:00:00"/>
        <d v="2012-05-20T00:00:00"/>
        <d v="2012-05-21T00:00:00"/>
        <d v="2012-05-22T00:00:00"/>
        <d v="2012-05-23T00:00:00"/>
        <d v="2012-05-24T00:00:00"/>
        <d v="2012-05-25T00:00:00"/>
        <d v="2012-05-26T00:00:00"/>
        <d v="2012-05-27T00:00:00"/>
        <d v="2012-05-28T00:00:00"/>
        <d v="2012-05-29T00:00:00"/>
        <d v="2012-05-30T00:00:00"/>
        <d v="2012-05-31T00:00:00"/>
        <d v="2012-06-01T00:00:00"/>
        <d v="2012-06-02T00:00:00"/>
        <d v="2012-06-03T00:00:00"/>
        <d v="2012-06-04T00:00:00"/>
        <d v="2012-06-05T00:00:00"/>
        <d v="2012-06-06T00:00:00"/>
        <d v="2012-06-07T00:00:00"/>
        <d v="2012-06-08T00:00:00"/>
        <d v="2012-06-09T00:00:00"/>
        <d v="2012-06-10T00:00:00"/>
        <d v="2012-06-11T00:00:00"/>
        <d v="2012-06-12T00:00:00"/>
        <d v="2012-06-13T00:00:00"/>
        <d v="2012-06-14T00:00:00"/>
        <d v="2012-06-15T00:00:00"/>
        <d v="2012-06-16T00:00:00"/>
        <d v="2012-06-17T00:00:00"/>
        <d v="2012-06-18T00:00:00"/>
        <d v="2012-06-19T00:00:00"/>
        <d v="2012-06-20T00:00:00"/>
        <d v="2012-06-21T00:00:00"/>
        <d v="2012-06-22T00:00:00"/>
        <d v="2012-06-23T00:00:00"/>
        <d v="2012-06-24T00:00:00"/>
        <d v="2012-06-25T00:00:00"/>
        <d v="2012-06-26T00:00:00"/>
        <d v="2012-06-27T00:00:00"/>
        <d v="2012-06-28T00:00:00"/>
        <d v="2012-06-29T00:00:00"/>
        <d v="2012-06-30T00:00:00"/>
        <d v="2012-07-01T00:00:00"/>
        <d v="2012-07-02T00:00:00"/>
        <d v="2012-07-03T00:00:00"/>
        <d v="2012-07-04T00:00:00"/>
        <d v="2012-07-05T00:00:00"/>
        <d v="2012-07-06T00:00:00"/>
        <d v="2012-07-07T00:00:00"/>
        <d v="2012-07-08T00:00:00"/>
        <d v="2012-07-09T00:00:00"/>
        <d v="2012-07-10T00:00:00"/>
        <d v="2012-07-11T00:00:00"/>
        <d v="2012-07-12T00:00:00"/>
        <d v="2012-07-13T00:00:00"/>
        <d v="2012-07-14T00:00:00"/>
        <d v="2012-07-15T00:00:00"/>
        <d v="2012-07-16T00:00:00"/>
        <d v="2012-07-17T00:00:00"/>
        <d v="2012-07-18T00:00:00"/>
        <d v="2012-07-19T00:00:00"/>
        <d v="2012-07-20T00:00:00"/>
        <d v="2012-07-21T00:00:00"/>
        <d v="2012-07-22T00:00:00"/>
        <d v="2012-07-23T00:00:00"/>
        <d v="2012-07-24T00:00:00"/>
        <d v="2012-07-25T00:00:00"/>
        <d v="2012-07-26T00:00:00"/>
        <d v="2012-07-27T00:00:00"/>
        <d v="2012-07-28T00:00:00"/>
        <d v="2012-07-29T00:00:00"/>
        <d v="2012-07-30T00:00:00"/>
        <d v="2012-07-31T00:00:00"/>
        <d v="2012-08-01T00:00:00"/>
        <d v="2012-08-02T00:00:00"/>
        <d v="2012-08-03T00:00:00"/>
        <d v="2012-08-04T00:00:00"/>
        <d v="2012-08-05T00:00:00"/>
        <d v="2012-08-06T00:00:00"/>
        <d v="2012-08-07T00:00:00"/>
        <d v="2012-08-08T00:00:00"/>
        <d v="2012-08-09T00:00:00"/>
        <d v="2012-08-10T00:00:00"/>
        <d v="2012-08-11T00:00:00"/>
        <d v="2012-08-12T00:00:00"/>
        <d v="2012-08-13T00:00:00"/>
        <d v="2012-08-14T00:00:00"/>
        <d v="2012-08-15T00:00:00"/>
        <d v="2012-08-16T00:00:00"/>
        <d v="2012-08-17T00:00:00"/>
        <d v="2012-08-18T00:00:00"/>
        <d v="2012-08-19T00:00:00"/>
        <d v="2012-08-20T00:00:00"/>
        <d v="2012-08-21T00:00:00"/>
        <d v="2012-08-22T00:00:00"/>
        <d v="2012-08-23T00:00:00"/>
        <d v="2012-08-24T00:00:00"/>
        <d v="2012-08-25T00:00:00"/>
        <d v="2012-08-26T00:00:00"/>
        <d v="2012-08-27T00:00:00"/>
        <d v="2012-08-28T00:00:00"/>
        <d v="2012-08-29T00:00:00"/>
        <d v="2012-08-30T00:00:00"/>
        <d v="2012-08-31T00:00:00"/>
        <d v="2012-09-01T00:00:00"/>
        <d v="2012-09-02T00:00:00"/>
        <d v="2012-09-03T00:00:00"/>
        <d v="2012-09-04T00:00:00"/>
        <d v="2012-09-05T00:00:00"/>
        <d v="2012-09-06T00:00:00"/>
        <d v="2012-09-07T00:00:00"/>
        <d v="2012-09-08T00:00:00"/>
        <d v="2012-09-09T00:00:00"/>
        <d v="2012-09-10T00:00:00"/>
        <d v="2012-09-11T00:00:00"/>
        <d v="2012-09-12T00:00:00"/>
        <d v="2012-09-13T00:00:00"/>
        <d v="2012-09-14T00:00:00"/>
        <d v="2012-09-15T00:00:00"/>
        <d v="2012-09-16T00:00:00"/>
        <d v="2012-09-17T00:00:00"/>
        <d v="2012-09-18T00:00:00"/>
        <d v="2012-09-19T00:00:00"/>
        <d v="2012-09-20T00:00:00"/>
        <d v="2012-09-21T00:00:00"/>
        <d v="2012-09-22T00:00:00"/>
        <d v="2012-09-23T00:00:00"/>
        <d v="2012-09-24T00:00:00"/>
        <d v="2012-09-25T00:00:00"/>
        <d v="2012-09-26T00:00:00"/>
        <d v="2012-09-27T00:00:00"/>
        <d v="2012-09-28T00:00:00"/>
        <d v="2012-09-29T00:00:00"/>
        <d v="2012-09-30T00:00:00"/>
        <d v="2012-10-01T00:00:00"/>
        <d v="2012-10-02T00:00:00"/>
        <d v="2012-10-03T00:00:00"/>
        <d v="2012-10-04T00:00:00"/>
        <d v="2012-10-05T00:00:00"/>
        <d v="2012-10-06T00:00:00"/>
        <d v="2012-10-07T00:00:00"/>
        <d v="2012-10-08T00:00:00"/>
        <d v="2012-10-09T00:00:00"/>
        <d v="2012-10-10T00:00:00"/>
        <d v="2012-10-11T00:00:00"/>
        <d v="2012-10-12T00:00:00"/>
        <d v="2012-10-13T00:00:00"/>
        <d v="2012-10-14T00:00:00"/>
        <d v="2012-10-15T00:00:00"/>
        <d v="2012-10-16T00:00:00"/>
        <d v="2012-10-17T00:00:00"/>
        <d v="2012-10-18T00:00:00"/>
        <d v="2012-10-19T00:00:00"/>
        <d v="2012-10-20T00:00:00"/>
        <d v="2012-10-21T00:00:00"/>
        <d v="2012-10-22T00:00:00"/>
        <d v="2012-10-23T00:00:00"/>
        <d v="2012-10-24T00:00:00"/>
        <d v="2012-10-25T00:00:00"/>
        <d v="2012-10-26T00:00:00"/>
        <d v="2012-10-27T00:00:00"/>
        <d v="2012-10-28T00:00:00"/>
        <d v="2012-10-29T00:00:00"/>
        <d v="2012-10-30T00:00:00"/>
        <d v="2012-10-31T00:00:00"/>
        <d v="2012-11-01T00:00:00"/>
        <d v="2012-11-02T00:00:00"/>
        <d v="2012-11-03T00:00:00"/>
        <d v="2012-11-04T00:00:00"/>
        <d v="2012-11-05T00:00:00"/>
        <d v="2012-11-06T00:00:00"/>
        <d v="2012-11-07T00:00:00"/>
        <d v="2012-11-08T00:00:00"/>
        <d v="2012-11-09T00:00:00"/>
        <d v="2012-11-10T00:00:00"/>
        <d v="2012-11-11T00:00:00"/>
        <d v="2012-11-12T00:00:00"/>
        <d v="2012-11-13T00:00:00"/>
        <d v="2012-11-14T00:00:00"/>
        <d v="2012-11-15T00:00:00"/>
        <d v="2012-11-16T00:00:00"/>
        <d v="2012-11-17T00:00:00"/>
        <d v="2012-11-18T00:00:00"/>
        <d v="2012-11-19T00:00:00"/>
        <d v="2012-11-20T00:00:00"/>
        <d v="2012-11-21T00:00:00"/>
        <d v="2012-11-22T00:00:00"/>
        <d v="2012-11-23T00:00:00"/>
        <d v="2012-11-24T00:00:00"/>
        <d v="2012-11-25T00:00:00"/>
        <d v="2012-11-26T00:00:00"/>
        <d v="2012-11-27T00:00:00"/>
        <d v="2012-11-28T00:00:00"/>
        <d v="2012-11-29T00:00:00"/>
        <d v="2012-11-30T00:00:00"/>
        <d v="2012-12-01T00:00:00"/>
        <d v="2012-12-02T00:00:00"/>
        <d v="2012-12-03T00:00:00"/>
        <d v="2012-12-04T00:00:00"/>
        <d v="2012-12-05T00:00:00"/>
        <d v="2012-12-06T00:00:00"/>
        <d v="2012-12-07T00:00:00"/>
        <d v="2012-12-08T00:00:00"/>
        <d v="2012-12-09T00:00:00"/>
        <d v="2012-12-10T00:00:00"/>
        <d v="2012-12-11T00:00:00"/>
        <d v="2012-12-12T00:00:00"/>
        <d v="2012-12-13T00:00:00"/>
        <d v="2012-12-14T00:00:00"/>
        <d v="2012-12-15T00:00:00"/>
        <d v="2012-12-16T00:00:00"/>
        <d v="2012-12-17T00:00:00"/>
        <d v="2012-12-18T00:00:00"/>
        <d v="2012-12-19T00:00:00"/>
        <d v="2012-12-20T00:00:00"/>
        <d v="2012-12-21T00:00:00"/>
        <d v="2012-12-22T00:00:00"/>
        <d v="2012-12-23T00:00:00"/>
        <d v="2012-12-24T00:00:00"/>
        <d v="2012-12-25T00:00:00"/>
        <d v="2012-12-26T00:00:00"/>
        <d v="2012-12-27T00:00:00"/>
        <d v="2012-12-28T00:00:00"/>
        <d v="2012-12-29T00:00:00"/>
        <d v="2012-12-30T00:00:00"/>
        <d v="2012-12-31T00:00:00"/>
        <d v="2013-01-01T00:00:00"/>
        <d v="2013-01-02T00:00:00"/>
        <d v="2013-01-03T00:00:00"/>
        <d v="2013-01-04T00:00:00"/>
        <d v="2013-01-05T00:00:00"/>
        <d v="2013-01-06T00:00:00"/>
        <d v="2013-01-07T00:00:00"/>
        <d v="2013-01-08T00:00:00"/>
        <d v="2013-01-09T00:00:00"/>
        <d v="2013-01-10T00:00:00"/>
        <d v="2013-01-11T00:00:00"/>
        <d v="2013-01-12T00:00:00"/>
        <d v="2013-01-13T00:00:00"/>
        <d v="2013-01-14T00:00:00"/>
        <d v="2013-01-15T00:00:00"/>
        <d v="2013-01-16T00:00:00"/>
        <d v="2013-01-17T00:00:00"/>
        <d v="2013-01-18T00:00:00"/>
        <d v="2013-01-19T00:00:00"/>
        <d v="2013-01-20T00:00:00"/>
        <d v="2013-01-21T00:00:00"/>
        <d v="2013-01-22T00:00:00"/>
        <d v="2013-01-23T00:00:00"/>
        <d v="2013-01-24T00:00:00"/>
        <d v="2013-01-25T00:00:00"/>
        <d v="2013-01-26T00:00:00"/>
        <d v="2013-01-27T00:00:00"/>
        <d v="2013-01-28T00:00:00"/>
        <d v="2013-01-29T00:00:00"/>
        <d v="2013-01-30T00:00:00"/>
        <d v="2013-01-31T00:00:00"/>
        <d v="2013-02-01T00:00:00"/>
        <d v="2013-02-02T00:00:00"/>
        <d v="2013-02-03T00:00:00"/>
        <d v="2013-02-04T00:00:00"/>
        <d v="2013-02-05T00:00:00"/>
        <d v="2013-02-06T00:00:00"/>
        <d v="2013-02-07T00:00:00"/>
        <d v="2013-02-08T00:00:00"/>
        <d v="2013-02-09T00:00:00"/>
        <d v="2013-02-10T00:00:00"/>
        <d v="2013-02-11T00:00:00"/>
        <d v="2013-02-12T00:00:00"/>
        <d v="2013-02-13T00:00:00"/>
        <d v="2013-02-14T00:00:00"/>
        <d v="2013-02-15T00:00:00"/>
        <d v="2013-02-16T00:00:00"/>
        <d v="2013-02-17T00:00:00"/>
        <d v="2013-02-18T00:00:00"/>
        <d v="2013-02-19T00:00:00"/>
        <d v="2013-02-20T00:00:00"/>
        <d v="2013-02-21T00:00:00"/>
        <d v="2013-02-22T00:00:00"/>
        <d v="2013-02-23T00:00:00"/>
        <d v="2013-02-24T00:00:00"/>
        <d v="2013-02-25T00:00:00"/>
        <d v="2013-02-26T00:00:00"/>
        <d v="2013-02-27T00:00:00"/>
        <d v="2013-02-28T00:00:00"/>
        <d v="2013-03-01T00:00:00"/>
        <d v="2013-03-02T00:00:00"/>
        <d v="2013-03-03T00:00:00"/>
        <d v="2013-03-04T00:00:00"/>
        <d v="2013-03-05T00:00:00"/>
        <d v="2013-03-06T00:00:00"/>
        <d v="2013-03-07T00:00:00"/>
        <d v="2013-03-08T00:00:00"/>
        <d v="2013-03-09T00:00:00"/>
        <d v="2013-03-10T00:00:00"/>
        <d v="2013-03-11T00:00:00"/>
        <d v="2013-03-12T00:00:00"/>
        <d v="2013-03-13T00:00:00"/>
        <d v="2013-03-14T00:00:00"/>
        <d v="2013-03-15T00:00:00"/>
        <d v="2013-03-16T00:00:00"/>
        <d v="2013-03-17T00:00:00"/>
        <d v="2013-03-18T00:00:00"/>
        <d v="2013-03-19T00:00:00"/>
        <d v="2013-03-20T00:00:00"/>
        <d v="2013-03-21T00:00:00"/>
        <d v="2013-03-22T00:00:00"/>
        <d v="2013-03-23T00:00:00"/>
        <d v="2013-03-24T00:00:00"/>
        <d v="2013-03-25T00:00:00"/>
        <d v="2013-03-26T00:00:00"/>
        <d v="2013-03-27T00:00:00"/>
        <d v="2013-03-28T00:00:00"/>
        <d v="2013-03-29T00:00:00"/>
        <d v="2013-03-30T00:00:00"/>
        <d v="2013-03-31T00:00:00"/>
        <d v="2013-04-01T00:00:00"/>
        <d v="2013-04-02T00:00:00"/>
        <d v="2013-04-03T00:00:00"/>
        <d v="2013-04-04T00:00:00"/>
        <d v="2013-04-05T00:00:00"/>
        <d v="2013-04-06T00:00:00"/>
        <d v="2013-04-07T00:00:00"/>
        <d v="2013-04-08T00:00:00"/>
        <d v="2013-04-09T00:00:00"/>
        <d v="2013-04-10T00:00:00"/>
        <d v="2013-04-11T00:00:00"/>
        <d v="2013-04-12T00:00:00"/>
        <d v="2013-04-13T00:00:00"/>
        <d v="2013-04-14T00:00:00"/>
        <d v="2013-04-15T00:00:00"/>
        <d v="2013-04-16T00:00:00"/>
        <d v="2013-04-17T00:00:00"/>
        <d v="2013-04-18T00:00:00"/>
        <d v="2013-04-19T00:00:00"/>
        <d v="2013-04-20T00:00:00"/>
        <d v="2013-04-21T00:00:00"/>
        <d v="2013-04-22T00:00:00"/>
        <d v="2013-04-23T00:00:00"/>
        <d v="2013-04-24T00:00:00"/>
        <d v="2013-04-25T00:00:00"/>
        <d v="2013-04-26T00:00:00"/>
        <d v="2013-04-27T00:00:00"/>
        <d v="2013-04-28T00:00:00"/>
        <d v="2013-04-29T00:00:00"/>
        <d v="2013-04-30T00:00:00"/>
        <d v="2013-05-01T00:00:00"/>
        <d v="2013-05-02T00:00:00"/>
        <d v="2013-05-03T00:00:00"/>
        <d v="2013-05-04T00:00:00"/>
        <d v="2013-05-05T00:00:00"/>
        <d v="2013-05-06T00:00:00"/>
        <d v="2013-05-07T00:00:00"/>
        <d v="2013-05-08T00:00:00"/>
        <d v="2013-05-09T00:00:00"/>
        <d v="2013-05-10T00:00:00"/>
        <d v="2013-05-11T00:00:00"/>
        <d v="2013-05-12T00:00:00"/>
        <d v="2013-05-13T00:00:00"/>
        <d v="2013-05-14T00:00:00"/>
        <d v="2013-05-15T00:00:00"/>
        <d v="2013-05-16T00:00:00"/>
        <d v="2013-05-17T00:00:00"/>
        <d v="2013-05-18T00:00:00"/>
        <d v="2013-05-19T00:00:00"/>
        <d v="2013-05-20T00:00:00"/>
        <d v="2013-05-21T00:00:00"/>
        <d v="2013-05-22T00:00:00"/>
        <d v="2013-05-23T00:00:00"/>
        <d v="2013-05-24T00:00:00"/>
        <d v="2013-05-25T00:00:00"/>
        <d v="2013-05-26T00:00:00"/>
        <d v="2013-05-27T00:00:00"/>
        <d v="2013-05-28T00:00:00"/>
        <d v="2013-05-29T00:00:00"/>
        <d v="2013-05-30T00:00:00"/>
        <d v="2013-05-31T00:00:00"/>
        <d v="2013-06-01T00:00:00"/>
        <d v="2013-06-02T00:00:00"/>
        <d v="2013-06-03T00:00:00"/>
        <d v="2013-06-04T00:00:00"/>
        <d v="2013-06-05T00:00:00"/>
        <d v="2013-06-06T00:00:00"/>
        <d v="2013-06-07T00:00:00"/>
        <d v="2013-06-08T00:00:00"/>
        <d v="2013-06-09T00:00:00"/>
        <d v="2013-06-10T00:00:00"/>
        <d v="2013-06-11T00:00:00"/>
        <d v="2013-06-12T00:00:00"/>
        <d v="2013-06-13T00:00:00"/>
        <d v="2013-06-14T00:00:00"/>
        <d v="2013-06-15T00:00:00"/>
        <d v="2013-06-16T00:00:00"/>
        <d v="2013-06-17T00:00:00"/>
        <d v="2013-06-18T00:00:00"/>
        <d v="2013-06-19T00:00:00"/>
        <d v="2013-06-20T00:00:00"/>
        <d v="2013-06-21T00:00:00"/>
        <d v="2013-06-22T00:00:00"/>
        <d v="2013-06-23T00:00:00"/>
        <d v="2013-06-24T00:00:00"/>
        <d v="2013-06-25T00:00:00"/>
        <d v="2013-06-26T00:00:00"/>
        <d v="2013-06-27T00:00:00"/>
        <d v="2013-06-28T00:00:00"/>
        <d v="2013-06-29T00:00:00"/>
        <d v="2013-06-30T00:00:00"/>
        <d v="2013-07-01T00:00:00"/>
        <d v="2013-07-02T00:00:00"/>
        <d v="2013-07-03T00:00:00"/>
        <d v="2013-07-04T00:00:00"/>
        <d v="2013-07-05T00:00:00"/>
        <d v="2013-07-06T00:00:00"/>
        <d v="2013-07-07T00:00:00"/>
        <d v="2013-07-08T00:00:00"/>
        <d v="2013-07-09T00:00:00"/>
        <d v="2013-07-10T00:00:00"/>
        <d v="2013-07-11T00:00:00"/>
        <d v="2013-07-12T00:00:00"/>
        <d v="2013-07-13T00:00:00"/>
        <d v="2013-07-14T00:00:00"/>
        <d v="2013-07-15T00:00:00"/>
        <d v="2013-07-16T00:00:00"/>
        <d v="2013-07-17T00:00:00"/>
        <d v="2013-07-18T00:00:00"/>
        <d v="2013-07-19T00:00:00"/>
        <d v="2013-07-20T00:00:00"/>
        <d v="2013-07-21T00:00:00"/>
        <d v="2013-07-22T00:00:00"/>
        <d v="2013-07-23T00:00:00"/>
        <d v="2013-07-24T00:00:00"/>
        <d v="2013-07-25T00:00:00"/>
        <d v="2013-07-26T00:00:00"/>
        <d v="2013-07-27T00:00:00"/>
        <d v="2013-07-28T00:00:00"/>
        <d v="2013-07-29T00:00:00"/>
        <d v="2013-07-30T00:00:00"/>
        <d v="2013-07-31T00:00:00"/>
        <d v="2013-08-01T00:00:00"/>
        <d v="2013-08-02T00:00:00"/>
        <d v="2013-08-03T00:00:00"/>
        <d v="2013-08-04T00:00:00"/>
        <d v="2013-08-05T00:00:00"/>
        <d v="2013-08-06T00:00:00"/>
        <d v="2013-08-07T00:00:00"/>
        <d v="2013-08-08T00:00:00"/>
        <d v="2013-08-09T00:00:00"/>
        <d v="2013-08-10T00:00:00"/>
        <d v="2013-08-11T00:00:00"/>
        <d v="2013-08-12T00:00:00"/>
        <d v="2013-08-13T00:00:00"/>
        <d v="2013-08-14T00:00:00"/>
        <d v="2013-08-15T00:00:00"/>
        <d v="2013-08-16T00:00:00"/>
        <d v="2013-08-17T00:00:00"/>
        <d v="2013-08-18T00:00:00"/>
        <d v="2013-08-19T00:00:00"/>
        <d v="2013-08-20T00:00:00"/>
        <d v="2013-08-21T00:00:00"/>
        <d v="2013-08-22T00:00:00"/>
        <d v="2013-08-23T00:00:00"/>
        <d v="2013-08-24T00:00:00"/>
        <d v="2013-08-25T00:00:00"/>
        <d v="2013-08-26T00:00:00"/>
        <d v="2013-08-27T00:00:00"/>
        <d v="2013-08-28T00:00:00"/>
        <d v="2013-08-29T00:00:00"/>
        <d v="2013-08-30T00:00:00"/>
        <d v="2013-08-31T00:00:00"/>
        <d v="2013-09-01T00:00:00"/>
        <d v="2013-09-02T00:00:00"/>
        <d v="2013-09-03T00:00:00"/>
        <d v="2013-09-04T00:00:00"/>
        <d v="2013-09-05T00:00:00"/>
        <d v="2013-09-06T00:00:00"/>
        <d v="2013-09-07T00:00:00"/>
        <d v="2013-09-08T00:00:00"/>
        <d v="2013-09-09T00:00:00"/>
        <d v="2013-09-10T00:00:00"/>
        <d v="2013-09-11T00:00:00"/>
        <d v="2013-09-12T00:00:00"/>
        <d v="2013-09-13T00:00:00"/>
        <d v="2013-09-14T00:00:00"/>
        <d v="2013-09-15T00:00:00"/>
        <d v="2013-09-16T00:00:00"/>
        <d v="2013-09-17T00:00:00"/>
        <d v="2013-09-18T00:00:00"/>
        <d v="2013-09-19T00:00:00"/>
        <d v="2013-09-20T00:00:00"/>
        <d v="2013-09-21T00:00:00"/>
        <d v="2013-09-22T00:00:00"/>
        <d v="2013-09-23T00:00:00"/>
        <d v="2013-09-24T00:00:00"/>
        <d v="2013-09-25T00:00:00"/>
        <d v="2013-09-26T00:00:00"/>
        <d v="2013-09-27T00:00:00"/>
        <d v="2013-09-28T00:00:00"/>
        <d v="2013-09-29T00:00:00"/>
        <d v="2013-09-30T00:00:00"/>
        <d v="2013-10-01T00:00:00"/>
        <d v="2013-10-02T00:00:00"/>
        <d v="2013-10-03T00:00:00"/>
        <d v="2013-10-04T00:00:00"/>
        <d v="2013-10-05T00:00:00"/>
        <d v="2013-10-06T00:00:00"/>
        <d v="2013-10-07T00:00:00"/>
        <d v="2013-10-08T00:00:00"/>
        <d v="2013-10-09T00:00:00"/>
        <d v="2013-10-10T00:00:00"/>
        <d v="2013-10-11T00:00:00"/>
        <d v="2013-10-12T00:00:00"/>
        <d v="2013-10-13T00:00:00"/>
        <d v="2013-10-14T00:00:00"/>
        <d v="2013-10-15T00:00:00"/>
        <d v="2013-10-16T00:00:00"/>
        <d v="2013-10-17T00:00:00"/>
        <d v="2013-10-18T00:00:00"/>
        <d v="2013-10-19T00:00:00"/>
        <d v="2013-10-20T00:00:00"/>
        <d v="2013-10-21T00:00:00"/>
        <d v="2013-10-22T00:00:00"/>
        <d v="2013-10-23T00:00:00"/>
        <d v="2013-10-24T00:00:00"/>
        <d v="2013-10-25T00:00:00"/>
        <d v="2013-10-26T00:00:00"/>
        <d v="2013-10-27T00:00:00"/>
        <d v="2013-10-28T00:00:00"/>
        <d v="2013-10-29T00:00:00"/>
        <d v="2013-10-30T00:00:00"/>
        <d v="2013-10-31T00:00:00"/>
        <d v="2013-11-01T00:00:00"/>
        <d v="2013-11-02T00:00:00"/>
        <d v="2013-11-03T00:00:00"/>
        <d v="2013-11-04T00:00:00"/>
        <d v="2013-11-05T00:00:00"/>
        <d v="2013-11-06T00:00:00"/>
        <d v="2013-11-07T00:00:00"/>
        <d v="2013-11-08T00:00:00"/>
        <d v="2013-11-09T00:00:00"/>
        <d v="2013-11-10T00:00:00"/>
        <d v="2013-11-11T00:00:00"/>
        <d v="2013-11-12T00:00:00"/>
        <d v="2013-11-13T00:00:00"/>
        <d v="2013-11-14T00:00:00"/>
        <d v="2013-11-15T00:00:00"/>
        <d v="2013-11-16T00:00:00"/>
        <d v="2013-11-17T00:00:00"/>
        <d v="2013-11-18T00:00:00"/>
        <d v="2013-11-19T00:00:00"/>
        <d v="2013-11-20T00:00:00"/>
        <d v="2013-11-21T00:00:00"/>
        <d v="2013-11-22T00:00:00"/>
        <d v="2013-11-23T00:00:00"/>
        <d v="2013-11-24T00:00:00"/>
        <d v="2013-11-25T00:00:00"/>
        <d v="2013-11-26T00:00:00"/>
        <d v="2013-11-27T00:00:00"/>
        <d v="2013-11-28T00:00:00"/>
        <d v="2013-11-29T00:00:00"/>
        <d v="2013-11-30T00:00:00"/>
        <d v="2013-12-01T00:00:00"/>
        <d v="2013-12-02T00:00:00"/>
        <d v="2013-12-03T00:00:00"/>
        <d v="2013-12-04T00:00:00"/>
        <d v="2013-12-05T00:00:00"/>
        <d v="2013-12-06T00:00:00"/>
        <d v="2013-12-07T00:00:00"/>
        <d v="2013-12-08T00:00:00"/>
        <d v="2013-12-09T00:00:00"/>
        <d v="2013-12-10T00:00:00"/>
        <d v="2013-12-11T00:00:00"/>
        <d v="2013-12-12T00:00:00"/>
        <d v="2013-12-13T00:00:00"/>
        <d v="2013-12-14T00:00:00"/>
        <d v="2013-12-15T00:00:00"/>
        <d v="2013-12-16T00:00:00"/>
        <d v="2013-12-17T00:00:00"/>
        <d v="2013-12-18T00:00:00"/>
        <d v="2013-12-19T00:00:00"/>
        <d v="2013-12-20T00:00:00"/>
        <d v="2013-12-21T00:00:00"/>
        <d v="2013-12-22T00:00:00"/>
        <d v="2013-12-23T00:00:00"/>
        <d v="2013-12-24T00:00:00"/>
        <d v="2013-12-25T00:00:00"/>
        <d v="2013-12-26T00:00:00"/>
        <d v="2013-12-27T00:00:00"/>
        <d v="2013-12-28T00:00:00"/>
        <d v="2013-12-29T00:00:00"/>
        <d v="2013-12-30T00:00:00"/>
        <d v="2013-12-31T00:00:00"/>
        <d v="2014-01-01T00:00:00"/>
        <d v="2014-01-02T00:00:00"/>
        <d v="2014-01-03T00:00:00"/>
        <d v="2014-01-04T00:00:00"/>
        <d v="2014-01-05T00:00:00"/>
        <d v="2014-01-06T00:00:00"/>
        <d v="2014-01-07T00:00:00"/>
        <d v="2014-01-08T00:00:00"/>
        <d v="2014-01-09T00:00:00"/>
        <d v="2014-01-10T00:00:00"/>
        <d v="2014-01-11T00:00:00"/>
        <d v="2014-01-12T00:00:00"/>
        <d v="2014-01-13T00:00:00"/>
        <d v="2014-01-14T00:00:00"/>
        <d v="2014-01-15T00:00:00"/>
        <d v="2014-01-16T00:00:00"/>
        <d v="2014-01-17T00:00:00"/>
        <d v="2014-01-18T00:00:00"/>
        <d v="2014-01-19T00:00:00"/>
        <d v="2014-01-20T00:00:00"/>
        <d v="2014-01-21T00:00:00"/>
        <d v="2014-01-22T00:00:00"/>
        <d v="2014-01-23T00:00:00"/>
        <d v="2014-01-24T00:00:00"/>
        <d v="2014-01-25T00:00:00"/>
        <d v="2014-01-26T00:00:00"/>
        <d v="2014-01-27T00:00:00"/>
        <d v="2014-01-28T00:00:00"/>
        <d v="2014-01-29T00:00:00"/>
        <d v="2014-01-30T00:00:00"/>
        <d v="2014-01-31T00:00:00"/>
        <d v="2014-02-01T00:00:00"/>
        <d v="2014-02-02T00:00:00"/>
        <d v="2014-02-03T00:00:00"/>
        <d v="2014-02-04T00:00:00"/>
        <d v="2014-02-05T00:00:00"/>
        <d v="2014-02-06T00:00:00"/>
        <d v="2014-02-07T00:00:00"/>
        <d v="2014-02-08T00:00:00"/>
        <d v="2014-02-09T00:00:00"/>
        <d v="2014-02-10T00:00:00"/>
        <d v="2014-02-11T00:00:00"/>
        <d v="2014-02-12T00:00:00"/>
        <d v="2014-02-13T00:00:00"/>
        <d v="2014-02-14T00:00:00"/>
        <d v="2014-02-15T00:00:00"/>
        <d v="2014-02-16T00:00:00"/>
        <d v="2014-02-17T00:00:00"/>
        <d v="2014-02-18T00:00:00"/>
        <d v="2014-02-19T00:00:00"/>
        <d v="2014-02-20T00:00:00"/>
        <d v="2014-02-21T00:00:00"/>
        <d v="2014-02-22T00:00:00"/>
        <d v="2014-02-23T00:00:00"/>
        <d v="2014-02-24T00:00:00"/>
        <d v="2014-02-25T00:00:00"/>
        <d v="2014-02-26T00:00:00"/>
        <d v="2014-02-27T00:00:00"/>
        <d v="2014-02-28T00:00:00"/>
        <d v="2014-03-01T00:00:00"/>
        <d v="2014-03-02T00:00:00"/>
        <d v="2014-03-03T00:00:00"/>
        <d v="2014-03-04T00:00:00"/>
        <d v="2014-03-05T00:00:00"/>
        <d v="2014-03-06T00:00:00"/>
        <d v="2014-03-07T00:00:00"/>
        <d v="2014-03-08T00:00:00"/>
        <d v="2014-03-09T00:00:00"/>
        <d v="2014-03-10T00:00:00"/>
        <d v="2014-03-11T00:00:00"/>
        <d v="2014-03-12T00:00:00"/>
        <d v="2014-03-13T00:00:00"/>
        <d v="2014-03-14T00:00:00"/>
        <d v="2014-03-15T00:00:00"/>
        <d v="2014-03-16T00:00:00"/>
        <d v="2014-03-17T00:00:00"/>
        <d v="2014-03-18T00:00:00"/>
        <d v="2014-03-19T00:00:00"/>
        <d v="2014-03-20T00:00:00"/>
        <d v="2014-03-21T00:00:00"/>
        <d v="2014-03-22T00:00:00"/>
        <d v="2014-03-23T00:00:00"/>
        <d v="2014-03-24T00:00:00"/>
        <d v="2014-03-25T00:00:00"/>
        <d v="2014-03-26T00:00:00"/>
        <d v="2014-03-27T00:00:00"/>
        <d v="2014-03-28T00:00:00"/>
        <d v="2014-03-29T00:00:00"/>
        <d v="2014-03-30T00:00:00"/>
        <d v="2014-03-31T00:00:00"/>
        <d v="2014-04-01T00:00:00"/>
        <d v="2014-04-02T00:00:00"/>
        <d v="2014-04-03T00:00:00"/>
        <d v="2014-04-04T00:00:00"/>
        <d v="2014-04-05T00:00:00"/>
        <d v="2014-04-06T00:00:00"/>
        <d v="2014-04-07T00:00:00"/>
        <d v="2014-04-08T00:00:00"/>
        <d v="2014-04-09T00:00:00"/>
        <d v="2014-04-10T00:00:00"/>
        <d v="2014-04-11T00:00:00"/>
        <d v="2014-04-12T00:00:00"/>
        <d v="2014-04-13T00:00:00"/>
        <d v="2014-04-14T00:00:00"/>
        <d v="2014-04-15T00:00:00"/>
        <d v="2014-04-16T00:00:00"/>
        <d v="2014-04-17T00:00:00"/>
        <d v="2014-04-18T00:00:00"/>
        <d v="2014-04-19T00:00:00"/>
        <d v="2014-04-20T00:00:00"/>
        <d v="2014-04-21T00:00:00"/>
        <d v="2014-04-22T00:00:00"/>
        <d v="2014-04-23T00:00:00"/>
        <d v="2014-04-24T00:00:00"/>
        <d v="2014-04-25T00:00:00"/>
        <d v="2014-04-26T00:00:00"/>
        <d v="2014-04-27T00:00:00"/>
        <d v="2014-04-28T00:00:00"/>
        <d v="2014-04-29T00:00:00"/>
        <d v="2014-04-30T00:00:00"/>
        <d v="2014-05-01T00:00:00"/>
        <d v="2014-05-02T00:00:00"/>
        <d v="2014-05-03T00:00:00"/>
        <d v="2014-05-04T00:00:00"/>
        <d v="2014-05-05T00:00:00"/>
        <d v="2014-05-06T00:00:00"/>
        <d v="2014-05-07T00:00:00"/>
        <d v="2014-05-08T00:00:00"/>
        <d v="2014-05-09T00:00:00"/>
        <d v="2014-05-10T00:00:00"/>
        <d v="2014-05-11T00:00:00"/>
        <d v="2014-05-12T00:00:00"/>
        <d v="2014-05-13T00:00:00"/>
        <d v="2014-05-14T00:00:00"/>
        <d v="2014-05-15T00:00:00"/>
        <d v="2014-05-16T00:00:00"/>
        <d v="2014-05-17T00:00:00"/>
        <d v="2014-05-18T00:00:00"/>
        <d v="2014-05-19T00:00:00"/>
        <d v="2014-05-20T00:00:00"/>
        <d v="2014-05-21T00:00:00"/>
        <d v="2014-05-22T00:00:00"/>
        <d v="2014-05-23T00:00:00"/>
        <d v="2014-05-24T00:00:00"/>
        <d v="2014-05-25T00:00:00"/>
        <d v="2014-05-26T00:00:00"/>
        <d v="2014-05-27T00:00:00"/>
        <d v="2014-05-28T00:00:00"/>
        <d v="2014-05-29T00:00:00"/>
        <d v="2014-05-30T00:00:00"/>
        <d v="2014-05-31T00:00:00"/>
        <d v="2014-06-01T00:00:00"/>
        <d v="2014-06-02T00:00:00"/>
        <d v="2014-06-03T00:00:00"/>
        <d v="2014-06-04T00:00:00"/>
        <d v="2014-06-05T00:00:00"/>
        <d v="2014-06-06T00:00:00"/>
        <d v="2014-06-07T00:00:00"/>
        <d v="2014-06-08T00:00:00"/>
        <d v="2014-06-09T00:00:00"/>
        <d v="2014-06-10T00:00:00"/>
        <d v="2014-06-11T00:00:00"/>
        <d v="2014-06-12T00:00:00"/>
        <d v="2014-06-13T00:00:00"/>
        <d v="2014-06-14T00:00:00"/>
        <d v="2014-06-15T00:00:00"/>
        <d v="2014-06-16T00:00:00"/>
        <d v="2014-06-17T00:00:00"/>
        <d v="2014-06-18T00:00:00"/>
        <d v="2014-06-19T00:00:00"/>
        <d v="2014-06-20T00:00:00"/>
        <d v="2014-06-21T00:00:00"/>
        <d v="2014-06-22T00:00:00"/>
        <d v="2014-06-23T00:00:00"/>
        <d v="2014-06-24T00:00:00"/>
        <d v="2014-06-25T00:00:00"/>
        <d v="2014-06-26T00:00:00"/>
        <d v="2014-06-27T00:00:00"/>
        <d v="2014-06-28T00:00:00"/>
        <d v="2014-06-29T00:00:00"/>
        <d v="2014-06-30T00:00:00"/>
        <d v="2014-07-01T00:00:00"/>
        <d v="2014-07-02T00:00:00"/>
        <d v="2014-07-03T00:00:00"/>
        <d v="2014-07-04T00:00:00"/>
        <d v="2014-07-05T00:00:00"/>
        <d v="2014-07-06T00:00:00"/>
        <d v="2014-07-07T00:00:00"/>
        <d v="2014-07-08T00:00:00"/>
        <d v="2014-07-09T00:00:00"/>
        <d v="2014-07-10T00:00:00"/>
        <d v="2014-07-11T00:00:00"/>
        <d v="2014-07-12T00:00:00"/>
        <d v="2014-07-13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7-30T00:00:00"/>
        <d v="2014-07-31T00:00:00"/>
        <d v="2014-08-01T00:00:00"/>
        <d v="2014-08-02T00:00:00"/>
        <d v="2014-08-03T00:00:00"/>
        <d v="2014-08-04T00:00:00"/>
        <d v="2014-08-05T00:00:00"/>
        <d v="2014-08-06T00:00:00"/>
        <d v="2014-08-07T00:00:00"/>
        <d v="2014-08-08T00:00:00"/>
        <d v="2014-08-09T00:00:00"/>
        <d v="2014-08-10T00:00:00"/>
        <d v="2014-08-11T00:00:00"/>
        <d v="2014-08-12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29T00:00:00"/>
        <d v="2014-08-30T00:00:00"/>
        <d v="2014-08-31T00:00:00"/>
        <d v="2014-09-01T00:00:00"/>
        <d v="2014-09-02T00:00:00"/>
        <d v="2014-09-03T00:00:00"/>
        <d v="2014-09-04T00:00:00"/>
        <d v="2014-09-05T00:00:00"/>
        <d v="2014-09-06T00:00:00"/>
        <d v="2014-09-07T00:00:00"/>
        <d v="2014-09-08T00:00:00"/>
        <d v="2014-09-09T00:00:00"/>
        <d v="2014-09-10T00:00:00"/>
        <d v="2014-09-11T00:00:00"/>
        <d v="2014-09-12T00:00:00"/>
        <d v="2014-09-13T00:00:00"/>
        <d v="2014-09-14T00:00:00"/>
        <d v="2014-09-15T00:00:00"/>
        <d v="2014-09-16T00:00:00"/>
        <d v="2014-09-17T00:00:00"/>
        <d v="2014-09-18T00:00:00"/>
        <d v="2014-09-19T00:00:00"/>
        <d v="2014-09-20T00:00:00"/>
        <d v="2014-09-21T00:00:00"/>
        <d v="2014-09-22T00:00:00"/>
        <d v="2014-09-23T00:00:00"/>
        <d v="2014-09-24T00:00:00"/>
        <d v="2014-09-25T00:00:00"/>
        <d v="2014-09-26T00:00:00"/>
        <d v="2014-09-27T00:00:00"/>
        <d v="2014-09-28T00:00:00"/>
        <d v="2014-09-29T00:00:00"/>
        <d v="2014-09-30T00:00:00"/>
        <d v="2014-10-01T00:00:00"/>
        <d v="2014-10-02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  <d v="2014-10-12T00:00:00"/>
        <d v="2014-10-13T00:00:00"/>
        <d v="2014-10-14T00:00:00"/>
        <d v="2014-10-15T00:00:00"/>
        <d v="2014-10-16T00:00:00"/>
        <d v="2014-10-17T00:00:00"/>
        <d v="2014-10-18T00:00:00"/>
        <d v="2014-10-19T00:00:00"/>
        <d v="2014-10-20T00:00:00"/>
        <d v="2014-10-21T00:00:00"/>
        <d v="2014-10-22T00:00:00"/>
        <d v="2014-10-23T00:00:00"/>
        <d v="2014-10-24T00:00:00"/>
        <d v="2014-10-25T00:00:00"/>
        <d v="2014-10-26T00:00:00"/>
        <d v="2014-10-27T00:00:00"/>
        <d v="2014-10-28T00:00:00"/>
        <d v="2014-10-29T00:00:00"/>
        <d v="2014-10-30T00:00:00"/>
        <d v="2014-10-31T00:00:00"/>
        <d v="2014-11-01T00:00:00"/>
        <d v="2014-11-02T00:00:00"/>
        <d v="2014-11-03T00:00:00"/>
        <d v="2014-11-04T00:00:00"/>
        <d v="2014-11-05T00:00:00"/>
        <d v="2014-11-06T00:00:00"/>
        <d v="2014-11-07T00:00:00"/>
        <d v="2014-11-08T00:00:00"/>
        <d v="2014-11-09T00:00:00"/>
        <d v="2014-11-10T00:00:00"/>
        <d v="2014-11-11T00:00:00"/>
        <d v="2014-11-12T00:00:00"/>
        <d v="2014-11-13T00:00:00"/>
        <d v="2014-11-14T00:00:00"/>
        <d v="2014-11-15T00:00:00"/>
        <d v="2014-11-16T00:00:00"/>
        <d v="2014-11-17T00:00:00"/>
        <d v="2014-11-18T00:00:00"/>
        <d v="2014-11-19T00:00:00"/>
        <d v="2014-11-20T00:00:00"/>
        <d v="2014-11-21T00:00:00"/>
        <d v="2014-11-22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2-12T00:00:00"/>
        <d v="2014-12-13T00:00:00"/>
        <d v="2014-12-14T00:00:00"/>
        <d v="2014-12-15T00:00:00"/>
        <d v="2014-12-16T00:00:00"/>
        <d v="2014-12-17T00:00:00"/>
        <d v="2014-12-18T00:00:00"/>
        <d v="2014-12-19T00:00:00"/>
        <d v="2014-12-20T00:00:00"/>
        <d v="2014-12-21T00:00:00"/>
        <d v="2014-12-22T00:00:00"/>
        <d v="2014-12-23T00:00:00"/>
        <d v="2014-12-24T00:00:00"/>
        <d v="2014-12-25T00:00:00"/>
        <d v="2014-12-26T00:00:00"/>
        <d v="2014-12-27T00:00:00"/>
        <d v="2014-12-28T00:00:00"/>
        <d v="2014-12-29T00:00:00"/>
        <d v="2014-12-30T00:00:00"/>
        <d v="2014-12-31T00:00:00"/>
        <d v="2015-01-01T00:00:00"/>
        <d v="2015-01-02T00:00:00"/>
        <d v="2015-01-03T00:00:00"/>
        <d v="2015-01-04T00:00:00"/>
        <d v="2015-01-05T00:00:00"/>
        <d v="2015-01-06T00:00:00"/>
        <d v="2015-01-07T00:00:00"/>
        <d v="2015-01-08T00:00:00"/>
        <d v="2015-01-09T00:00:00"/>
        <d v="2015-01-10T00:00:00"/>
        <d v="2015-01-11T00:00:00"/>
        <d v="2015-01-12T00:00:00"/>
        <d v="2015-01-13T00:00:00"/>
        <d v="2015-01-14T00:00:00"/>
        <d v="2015-01-15T00:00:00"/>
        <d v="2015-01-16T00:00:00"/>
        <d v="2015-01-17T00:00:00"/>
        <d v="2015-01-18T00:00:00"/>
        <d v="2015-01-19T00:00:00"/>
        <d v="2015-01-20T00:00:00"/>
        <d v="2015-01-21T00:00:00"/>
        <d v="2015-01-22T00:00:00"/>
        <d v="2015-01-23T00:00:00"/>
        <d v="2015-01-24T00:00:00"/>
        <d v="2015-01-25T00:00:00"/>
        <d v="2015-01-26T00:00:00"/>
        <d v="2015-01-27T00:00:00"/>
        <d v="2015-01-28T00:00:00"/>
        <d v="2015-01-29T00:00:00"/>
        <d v="2015-01-30T00:00:00"/>
        <d v="2015-01-31T00:00:00"/>
        <d v="2015-02-01T00:00:00"/>
        <d v="2015-02-02T00:00:00"/>
        <d v="2015-02-03T00:00:00"/>
        <d v="2015-02-04T00:00:00"/>
        <d v="2015-02-05T00:00:00"/>
        <d v="2015-02-06T00:00:00"/>
        <d v="2015-02-07T00:00:00"/>
        <d v="2015-02-08T00:00:00"/>
        <d v="2015-02-09T00:00:00"/>
        <d v="2015-02-10T00:00:00"/>
        <d v="2015-02-11T00:00:00"/>
        <d v="2015-02-12T00:00:00"/>
        <d v="2015-02-13T00:00:00"/>
        <d v="2015-02-14T00:00:00"/>
        <d v="2015-02-15T00:00:00"/>
        <d v="2015-02-16T00:00:00"/>
        <d v="2015-02-17T00:00:00"/>
        <d v="2015-02-18T00:00:00"/>
        <d v="2015-02-19T00:00:00"/>
        <d v="2015-02-20T00:00:00"/>
        <d v="2015-02-21T00:00:00"/>
        <d v="2015-02-22T00:00:00"/>
        <d v="2015-02-23T00:00:00"/>
        <d v="2015-02-24T00:00:00"/>
        <d v="2015-02-25T00:00:00"/>
        <d v="2015-02-26T00:00:00"/>
        <d v="2015-02-27T00:00:00"/>
        <d v="2015-02-28T00:00:00"/>
        <d v="2015-03-01T00:00:00"/>
        <d v="2015-03-02T00:00:00"/>
        <d v="2015-03-03T00:00:00"/>
        <d v="2015-03-04T00:00:00"/>
        <d v="2015-03-05T00:00:00"/>
        <d v="2015-03-06T00:00:00"/>
        <d v="2015-03-07T00:00:00"/>
        <d v="2015-03-08T00:00:00"/>
        <d v="2015-03-09T00:00:00"/>
        <d v="2015-03-10T00:00:00"/>
        <d v="2015-03-11T00:00:00"/>
        <d v="2015-03-12T00:00:00"/>
        <d v="2015-03-13T00:00:00"/>
        <d v="2015-03-14T00:00:00"/>
        <d v="2015-03-15T00:00:00"/>
        <d v="2015-03-16T00:00:00"/>
        <d v="2015-03-17T00:00:00"/>
        <d v="2015-03-18T00:00:00"/>
        <d v="2015-03-19T00:00:00"/>
        <d v="2015-03-20T00:00:00"/>
        <d v="2015-03-21T00:00:00"/>
        <d v="2015-03-22T00:00:00"/>
        <d v="2015-03-23T00:00:00"/>
        <d v="2015-03-24T00:00:00"/>
        <d v="2015-03-25T00:00:00"/>
        <d v="2015-03-26T00:00:00"/>
        <d v="2015-03-27T00:00:00"/>
        <d v="2015-03-28T00:00:00"/>
        <d v="2015-03-29T00:00:00"/>
        <d v="2015-03-30T00:00:00"/>
        <d v="2015-03-31T00:00:00"/>
        <d v="2015-04-01T00:00:00"/>
        <d v="2015-04-02T00:00:00"/>
        <d v="2015-04-03T00:00:00"/>
        <d v="2015-04-04T00:00:00"/>
        <d v="2015-04-05T00:00:00"/>
        <d v="2015-04-06T00:00:00"/>
        <d v="2015-04-07T00:00:00"/>
        <d v="2015-04-08T00:00:00"/>
        <d v="2015-04-09T00:00:00"/>
        <d v="2015-04-10T00:00:00"/>
        <d v="2015-04-11T00:00:00"/>
        <d v="2015-04-12T00:00:00"/>
        <d v="2015-04-13T00:00:00"/>
        <d v="2015-04-14T00:00:00"/>
        <d v="2015-04-15T00:00:00"/>
        <d v="2015-04-16T00:00:00"/>
        <d v="2015-04-17T00:00:00"/>
        <d v="2015-04-18T00:00:00"/>
        <d v="2015-04-19T00:00:00"/>
        <d v="2015-04-20T00:00:00"/>
        <d v="2015-04-21T00:00:00"/>
        <d v="2015-04-22T00:00:00"/>
        <d v="2015-04-23T00:00:00"/>
        <d v="2015-04-24T00:00:00"/>
        <d v="2015-04-25T00:00:00"/>
        <d v="2015-04-26T00:00:00"/>
        <d v="2015-04-27T00:00:00"/>
        <d v="2015-04-28T00:00:00"/>
        <d v="2015-04-29T00:00:00"/>
        <d v="2015-04-30T00:00:00"/>
        <d v="2015-05-01T00:00:00"/>
        <d v="2015-05-02T00:00:00"/>
        <d v="2015-05-03T00:00:00"/>
        <d v="2015-05-04T00:00:00"/>
        <d v="2015-05-05T00:00:00"/>
        <d v="2015-05-06T00:00:00"/>
        <d v="2015-05-07T00:00:00"/>
        <d v="2015-05-08T00:00:00"/>
        <d v="2015-05-09T00:00:00"/>
        <d v="2015-05-10T00:00:00"/>
        <d v="2015-05-11T00:00:00"/>
        <d v="2015-05-12T00:00:00"/>
        <d v="2015-05-13T00:00:00"/>
        <d v="2015-05-14T00:00:00"/>
        <d v="2015-05-15T00:00:00"/>
        <d v="2015-05-16T00:00:00"/>
        <d v="2015-05-17T00:00:00"/>
        <d v="2015-05-18T00:00:00"/>
        <d v="2015-05-19T00:00:00"/>
        <d v="2015-05-20T00:00:00"/>
        <d v="2015-05-21T00:00:00"/>
        <d v="2015-05-22T00:00:00"/>
        <d v="2015-05-23T00:00:00"/>
        <d v="2015-05-24T00:00:00"/>
        <d v="2015-05-25T00:00:00"/>
        <d v="2015-05-26T00:00:00"/>
        <d v="2015-05-27T00:00:00"/>
        <d v="2015-05-28T00:00:00"/>
        <d v="2015-05-29T00:00:00"/>
        <d v="2015-05-30T00:00:00"/>
        <d v="2015-05-31T00:00:00"/>
        <d v="2015-06-01T00:00:00"/>
        <d v="2015-06-02T00:00:00"/>
        <d v="2015-06-03T00:00:00"/>
        <d v="2015-06-04T00:00:00"/>
        <d v="2015-06-05T00:00:00"/>
        <d v="2015-06-06T00:00:00"/>
        <d v="2015-06-07T00:00:00"/>
        <d v="2015-06-08T00:00:00"/>
        <d v="2015-06-09T00:00:00"/>
        <d v="2015-06-10T00:00:00"/>
        <d v="2015-06-11T00:00:00"/>
        <d v="2015-06-12T00:00:00"/>
        <d v="2015-06-13T00:00:00"/>
        <d v="2015-06-14T00:00:00"/>
        <d v="2015-06-15T00:00:00"/>
        <d v="2015-06-16T00:00:00"/>
        <d v="2015-06-17T00:00:00"/>
        <d v="2015-06-18T00:00:00"/>
        <d v="2015-06-19T00:00:00"/>
        <d v="2015-06-20T00:00:00"/>
        <d v="2015-06-21T00:00:00"/>
        <d v="2015-06-22T00:00:00"/>
        <d v="2015-06-23T00:00:00"/>
        <d v="2015-06-24T00:00:00"/>
        <d v="2015-06-25T00:00:00"/>
        <d v="2015-06-26T00:00:00"/>
        <d v="2015-06-27T00:00:00"/>
        <d v="2015-06-28T00:00:00"/>
        <d v="2015-06-29T00:00:00"/>
        <d v="2015-06-30T00:00:00"/>
        <d v="2015-07-01T00:00:00"/>
        <d v="2015-07-02T00:00:00"/>
        <d v="2015-07-03T00:00:00"/>
        <d v="2015-07-04T00:00:00"/>
        <d v="2015-07-05T00:00:00"/>
        <d v="2015-07-06T00:00:00"/>
        <d v="2015-07-07T00:00:00"/>
        <d v="2015-07-08T00:00:00"/>
        <d v="2015-07-09T00:00:00"/>
        <d v="2015-07-10T00:00:00"/>
        <d v="2015-07-11T00:00:00"/>
        <d v="2015-07-12T00:00:00"/>
        <d v="2015-07-13T00:00:00"/>
        <d v="2015-07-14T00:00:00"/>
        <d v="2015-07-15T00:00:00"/>
        <d v="2015-07-16T00:00:00"/>
        <d v="2015-07-17T00:00:00"/>
        <d v="2015-07-18T00:00:00"/>
        <d v="2015-07-19T00:00:00"/>
        <d v="2015-07-20T00:00:00"/>
        <d v="2015-07-21T00:00:00"/>
        <d v="2015-07-22T00:00:00"/>
        <d v="2015-07-23T00:00:00"/>
        <d v="2015-07-24T00:00:00"/>
        <d v="2015-07-25T00:00:00"/>
        <d v="2015-07-26T00:00:00"/>
        <d v="2015-07-27T00:00:00"/>
        <d v="2015-07-28T00:00:00"/>
        <d v="2015-07-29T00:00:00"/>
        <d v="2015-07-30T00:00:00"/>
        <d v="2015-07-31T00:00:00"/>
        <d v="2015-08-01T00:00:00"/>
        <d v="2015-08-02T00:00:00"/>
        <d v="2015-08-03T00:00:00"/>
        <d v="2015-08-04T00:00:00"/>
        <d v="2015-08-05T00:00:00"/>
        <d v="2015-08-06T00:00:00"/>
        <d v="2015-08-07T00:00:00"/>
        <d v="2015-08-08T00:00:00"/>
        <d v="2015-08-09T00:00:00"/>
        <d v="2015-08-10T00:00:00"/>
        <d v="2015-08-11T00:00:00"/>
        <d v="2015-08-12T00:00:00"/>
        <d v="2015-08-13T00:00:00"/>
        <d v="2015-08-14T00:00:00"/>
        <d v="2015-08-15T00:00:00"/>
        <d v="2015-08-16T00:00:00"/>
        <d v="2015-08-17T00:00:00"/>
        <d v="2015-08-18T00:00:00"/>
        <d v="2015-08-19T00:00:00"/>
        <d v="2015-08-20T00:00:00"/>
        <d v="2015-08-21T00:00:00"/>
        <d v="2015-08-22T00:00:00"/>
        <d v="2015-08-23T00:00:00"/>
        <d v="2015-08-24T00:00:00"/>
        <d v="2015-08-25T00:00:00"/>
        <d v="2015-08-26T00:00:00"/>
        <d v="2015-08-27T00:00:00"/>
        <d v="2015-08-28T00:00:00"/>
        <d v="2015-08-29T00:00:00"/>
        <d v="2015-08-30T00:00:00"/>
        <d v="2015-08-31T00:00:00"/>
        <d v="2015-09-01T00:00:00"/>
        <d v="2015-09-02T00:00:00"/>
        <d v="2015-09-03T00:00:00"/>
        <d v="2015-09-04T00:00:00"/>
        <d v="2015-09-05T00:00:00"/>
        <d v="2015-09-06T00:00:00"/>
        <d v="2015-09-07T00:00:00"/>
        <d v="2015-09-08T00:00:00"/>
        <d v="2015-09-09T00:00:00"/>
        <d v="2015-09-10T00:00:00"/>
        <d v="2015-09-11T00:00:00"/>
        <d v="2015-09-12T00:00:00"/>
        <d v="2015-09-13T00:00:00"/>
        <d v="2015-09-14T00:00:00"/>
        <d v="2015-09-15T00:00:00"/>
        <d v="2015-09-16T00:00:00"/>
        <d v="2015-09-17T00:00:00"/>
        <d v="2015-09-18T00:00:00"/>
        <d v="2015-09-19T00:00:00"/>
        <d v="2015-09-20T00:00:00"/>
        <d v="2015-09-21T00:00:00"/>
        <d v="2015-09-22T00:00:00"/>
        <d v="2015-09-23T00:00:00"/>
        <d v="2015-09-24T00:00:00"/>
        <d v="2015-09-25T00:00:00"/>
        <d v="2015-09-26T00:00:00"/>
        <d v="2015-09-27T00:00:00"/>
        <d v="2015-09-28T00:00:00"/>
        <d v="2015-09-29T00:00:00"/>
        <d v="2015-09-30T00:00:00"/>
        <d v="2015-10-01T00:00:00"/>
        <d v="2015-10-02T00:00:00"/>
        <d v="2015-10-03T00:00:00"/>
        <d v="2015-10-04T00:00:00"/>
        <d v="2015-10-05T00:00:00"/>
        <d v="2015-10-06T00:00:00"/>
        <d v="2015-10-07T00:00:00"/>
        <d v="2015-10-08T00:00:00"/>
        <d v="2015-10-09T00:00:00"/>
        <d v="2015-10-10T00:00:00"/>
        <d v="2015-10-11T00:00:00"/>
        <d v="2015-10-12T00:00:00"/>
        <d v="2015-10-13T00:00:00"/>
        <d v="2015-10-14T00:00:00"/>
        <d v="2015-10-15T00:00:00"/>
        <d v="2015-10-16T00:00:00"/>
        <d v="2015-10-17T00:00:00"/>
        <d v="2015-10-18T00:00:00"/>
        <d v="2015-10-19T00:00:00"/>
        <d v="2015-10-20T00:00:00"/>
        <d v="2015-10-21T00:00:00"/>
        <d v="2015-10-22T00:00:00"/>
        <d v="2015-10-23T00:00:00"/>
        <d v="2015-10-24T00:00:00"/>
        <d v="2015-10-25T00:00:00"/>
        <d v="2015-10-26T00:00:00"/>
        <d v="2015-10-27T00:00:00"/>
        <d v="2015-10-28T00:00:00"/>
        <d v="2015-10-29T00:00:00"/>
        <d v="2015-10-30T00:00:00"/>
        <d v="2015-10-31T00:00:00"/>
        <d v="2015-11-01T00:00:00"/>
        <d v="2015-11-02T00:00:00"/>
        <d v="2015-11-03T00:00:00"/>
        <d v="2015-11-04T00:00:00"/>
        <d v="2015-11-05T00:00:00"/>
        <d v="2015-11-06T00:00:00"/>
        <d v="2015-11-07T00:00:00"/>
        <d v="2015-11-08T00:00:00"/>
        <d v="2015-11-09T00:00:00"/>
        <d v="2015-11-10T00:00:00"/>
        <d v="2015-11-11T00:00:00"/>
        <d v="2015-11-12T00:00:00"/>
        <d v="2015-11-13T00:00:00"/>
        <d v="2015-11-14T00:00:00"/>
        <d v="2015-11-15T00:00:00"/>
        <d v="2015-11-16T00:00:00"/>
        <d v="2015-11-17T00:00:00"/>
        <d v="2015-11-18T00:00:00"/>
        <d v="2015-11-19T00:00:00"/>
        <d v="2015-11-20T00:00:00"/>
        <d v="2015-11-21T00:00:00"/>
        <d v="2015-11-22T00:00:00"/>
        <d v="2015-11-23T00:00:00"/>
        <d v="2015-11-24T00:00:00"/>
        <d v="2015-11-25T00:00:00"/>
        <d v="2015-11-26T00:00:00"/>
        <d v="2015-11-27T00:00:00"/>
        <d v="2015-11-28T00:00:00"/>
        <d v="2015-11-29T00:00:00"/>
        <d v="2015-11-30T00:00:00"/>
        <d v="2015-12-01T00:00:00"/>
        <d v="2015-12-02T00:00:00"/>
        <d v="2015-12-03T00:00:00"/>
        <d v="2015-12-04T00:00:00"/>
        <d v="2015-12-05T00:00:00"/>
        <d v="2015-12-06T00:00:00"/>
        <d v="2015-12-07T00:00:00"/>
        <d v="2015-12-08T00:00:00"/>
        <d v="2015-12-09T00:00:00"/>
        <d v="2015-12-10T00:00:00"/>
        <d v="2015-12-11T00:00:00"/>
        <d v="2015-12-12T00:00:00"/>
        <d v="2015-12-13T00:00:00"/>
        <d v="2015-12-14T00:00:00"/>
        <d v="2015-12-15T00:00:00"/>
        <d v="2015-12-16T00:00:00"/>
        <d v="2015-12-17T00:00:00"/>
        <d v="2015-12-18T00:00:00"/>
        <d v="2015-12-19T00:00:00"/>
        <d v="2015-12-20T00:00:00"/>
        <d v="2015-12-21T00:00:00"/>
        <d v="2015-12-22T00:00:00"/>
        <d v="2015-12-23T00:00:00"/>
        <d v="2015-12-24T00:00:00"/>
        <d v="2015-12-25T00:00:00"/>
        <d v="2015-12-26T00:00:00"/>
        <d v="2015-12-27T00:00:00"/>
        <d v="2015-12-28T00:00:00"/>
        <d v="2015-12-29T00:00:00"/>
        <d v="2015-12-30T00:00:00"/>
        <d v="2015-12-31T00:00:00"/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29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2-29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  <d v="2021-04-23T00:00:00"/>
        <d v="2021-04-24T00:00:00"/>
        <d v="2021-04-25T00:00:00"/>
        <d v="2021-04-26T00:00:00"/>
        <d v="2021-04-27T00:00:00"/>
        <d v="2021-04-28T00:00:00"/>
        <d v="2021-04-29T00:00:00"/>
        <d v="2021-04-30T00:00:00"/>
        <d v="2021-05-01T00:00:00"/>
        <d v="2021-05-02T00:00:00"/>
        <d v="2021-05-03T00:00:00"/>
        <d v="2021-05-04T00:00:00"/>
        <d v="2021-05-05T00:00:00"/>
        <d v="2021-05-06T00:00:00"/>
        <d v="2021-05-07T00:00:00"/>
        <d v="2021-05-08T00:00:00"/>
        <d v="2021-05-09T00:00:00"/>
        <d v="2021-05-10T00:00:00"/>
        <d v="2021-05-11T00:00:00"/>
        <d v="2021-05-12T00:00:00"/>
        <d v="2021-05-13T00:00:00"/>
        <d v="2021-05-14T00:00:00"/>
        <d v="2021-05-15T00:00:00"/>
        <d v="2021-05-16T00:00:00"/>
        <d v="2021-05-17T00:00:00"/>
        <d v="2021-05-18T00:00:00"/>
        <d v="2021-05-19T00:00:00"/>
        <d v="2021-05-20T00:00:00"/>
        <d v="2021-05-21T00:00:00"/>
        <d v="2021-05-22T00:00:00"/>
        <d v="2021-05-23T00:00:00"/>
        <d v="2021-05-24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7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6T00:00:00"/>
        <d v="2021-06-17T00:00:00"/>
        <d v="2021-06-18T00:00:00"/>
        <d v="2021-06-19T00:00:00"/>
        <d v="2021-06-20T00:00:00"/>
        <d v="2021-06-21T00:00:00"/>
        <d v="2021-06-22T00:00:00"/>
        <d v="2021-06-23T00:00:00"/>
        <d v="2021-06-24T00:00:00"/>
        <d v="2021-06-25T00:00:00"/>
        <d v="2021-06-26T00:00:00"/>
        <d v="2021-06-27T00:00:00"/>
        <d v="2021-06-28T00:00:00"/>
        <d v="2021-06-29T00:00:00"/>
        <d v="2021-06-30T00:00:00"/>
        <d v="2021-07-01T00:00:00"/>
        <d v="2021-07-02T00:00:00"/>
        <d v="2021-07-03T00:00:00"/>
        <d v="2021-07-04T00:00:00"/>
        <d v="2021-07-05T00:00:00"/>
        <d v="2021-07-06T00:00:00"/>
        <d v="2021-07-07T00:00:00"/>
        <d v="2021-07-08T00:00:00"/>
        <d v="2021-07-09T00:00:00"/>
        <d v="2021-07-10T00:00:00"/>
        <d v="2021-07-11T00:00:00"/>
        <d v="2021-07-12T00:00:00"/>
        <d v="2021-07-13T00:00:00"/>
        <d v="2021-07-14T00:00:00"/>
        <d v="2021-07-15T00:00:00"/>
        <d v="2021-07-16T00:00:00"/>
        <d v="2021-07-17T00:00:00"/>
        <d v="2021-07-18T00:00:00"/>
        <d v="2021-07-19T00:00:00"/>
        <d v="2021-07-20T00:00:00"/>
        <d v="2021-07-21T00:00:00"/>
        <d v="2021-07-22T00:00:00"/>
        <d v="2021-07-23T00:00:00"/>
        <d v="2021-07-24T00:00:00"/>
        <d v="2021-07-25T00:00:00"/>
        <d v="2021-07-26T00:00:00"/>
        <d v="2021-07-27T00:00:00"/>
        <d v="2021-07-28T00:00:00"/>
        <d v="2021-07-29T00:00:00"/>
        <d v="2021-07-30T00:00:00"/>
        <d v="2021-07-31T00:00:00"/>
        <d v="2021-08-01T00:00:00"/>
        <d v="2021-08-02T00:00:00"/>
        <d v="2021-08-03T00:00:00"/>
        <d v="2021-08-04T00:00:00"/>
        <d v="2021-08-05T00:00:00"/>
        <d v="2021-08-06T00:00:00"/>
        <d v="2021-08-07T00:00:00"/>
        <d v="2021-08-08T00:00:00"/>
        <d v="2021-08-09T00:00:00"/>
        <d v="2021-08-10T00:00:00"/>
        <d v="2021-08-11T00:00:00"/>
        <d v="2021-08-12T00:00:00"/>
        <d v="2021-08-13T00:00:00"/>
        <d v="2021-08-14T00:00:00"/>
        <d v="2021-08-15T00:00:00"/>
        <d v="2021-08-16T00:00:00"/>
        <d v="2021-08-17T00:00:00"/>
        <d v="2021-08-18T00:00:00"/>
        <d v="2021-08-19T00:00:00"/>
        <d v="2021-08-20T00:00:00"/>
        <d v="2021-08-21T00:00:00"/>
        <d v="2021-08-22T00:00:00"/>
        <d v="2021-08-23T00:00:00"/>
        <d v="2021-08-24T00:00:00"/>
        <d v="2021-08-25T00:00:00"/>
        <d v="2021-08-26T00:00:00"/>
        <d v="2021-08-27T00:00:00"/>
        <d v="2021-08-28T00:00:00"/>
        <d v="2021-08-29T00:00:00"/>
        <d v="2021-08-30T00:00:00"/>
        <d v="2021-08-31T00:00:00"/>
        <d v="2021-09-01T00:00:00"/>
        <d v="2021-09-02T00:00:00"/>
        <d v="2021-09-03T00:00:00"/>
        <d v="2021-09-04T00:00:00"/>
        <d v="2021-09-05T00:00:00"/>
        <d v="2021-09-06T00:00:00"/>
        <d v="2021-09-07T00:00:00"/>
        <d v="2021-09-08T00:00:00"/>
        <d v="2021-09-09T00:00:00"/>
        <d v="2021-09-10T00:00:00"/>
        <d v="2021-09-11T00:00:00"/>
        <d v="2021-09-12T00:00:00"/>
        <d v="2021-09-13T00:00:00"/>
        <d v="2021-09-14T00:00:00"/>
        <d v="2021-09-15T00:00:00"/>
        <d v="2021-09-16T00:00:00"/>
        <d v="2021-09-17T00:00:00"/>
        <d v="2021-09-18T00:00:00"/>
        <d v="2021-09-19T00:00:00"/>
        <d v="2021-09-20T00:00:00"/>
        <d v="2021-09-21T00:00:00"/>
        <d v="2021-09-22T00:00:00"/>
        <d v="2021-09-23T00:00:00"/>
        <d v="2021-09-24T00:00:00"/>
        <d v="2021-09-25T00:00:00"/>
        <d v="2021-09-26T00:00:00"/>
        <d v="2021-09-27T00:00:00"/>
        <d v="2021-09-28T00:00:00"/>
        <d v="2021-09-29T00:00:00"/>
        <d v="2021-09-30T00:00:00"/>
        <d v="2021-10-01T00:00:00"/>
        <d v="2021-10-02T00:00:00"/>
        <d v="2021-10-03T00:00:00"/>
        <d v="2021-10-04T00:00:00"/>
        <d v="2021-10-05T00:00:00"/>
        <d v="2021-10-06T00:00:00"/>
        <d v="2021-10-07T00:00:00"/>
        <d v="2021-10-08T00:00:00"/>
        <d v="2021-10-09T00:00:00"/>
        <d v="2021-10-10T00:00:00"/>
        <d v="2021-10-11T00:00:00"/>
        <d v="2021-10-12T00:00:00"/>
        <d v="2021-10-13T00:00:00"/>
        <d v="2021-10-14T00:00:00"/>
        <d v="2021-10-15T00:00:00"/>
        <d v="2021-10-16T00:00:00"/>
        <d v="2021-10-17T00:00:00"/>
        <d v="2021-10-18T00:00:00"/>
        <d v="2021-10-19T00:00:00"/>
        <d v="2021-10-20T00:00:00"/>
        <d v="2021-10-21T00:00:00"/>
        <d v="2021-10-22T00:00:00"/>
        <d v="2021-10-23T00:00:00"/>
        <d v="2021-10-24T00:00:00"/>
        <d v="2021-10-25T00:00:00"/>
        <d v="2021-10-27T00:00:00"/>
        <d v="2021-10-28T00:00:00"/>
        <d v="2021-10-29T00:00:00"/>
        <d v="2021-10-30T00:00:00"/>
        <d v="2021-10-31T00:00:00"/>
        <d v="2021-11-01T00:00:00"/>
        <d v="2021-11-02T00:00:00"/>
        <d v="2021-11-03T00:00:00"/>
        <d v="2021-11-04T00:00:00"/>
        <d v="2021-11-05T00:00:00"/>
        <d v="2021-11-06T00:00:00"/>
        <d v="2021-11-07T00:00:00"/>
        <d v="2021-11-08T00:00:00"/>
        <d v="2021-11-09T00:00:00"/>
        <d v="2021-11-10T00:00:00"/>
        <d v="2021-11-11T00:00:00"/>
        <d v="2021-11-12T00:00:00"/>
        <d v="2021-11-13T00:00:00"/>
        <d v="2021-11-14T00:00:00"/>
        <d v="2021-11-15T00:00:00"/>
        <d v="2021-11-16T00:00:00"/>
        <d v="2021-11-17T00:00:00"/>
        <d v="2021-11-18T00:00:00"/>
        <d v="2021-11-19T00:00:00"/>
        <d v="2021-11-20T00:00:00"/>
        <d v="2021-11-21T00:00:00"/>
        <d v="2021-11-22T00:00:00"/>
        <d v="2021-11-23T00:00:00"/>
        <d v="2021-11-24T00:00:00"/>
        <d v="2021-11-25T00:00:00"/>
        <d v="2021-11-26T00:00:00"/>
        <d v="2021-11-27T00:00:00"/>
        <d v="2021-11-28T00:00:00"/>
        <d v="2021-11-29T00:00:00"/>
        <d v="2021-11-30T00:00:00"/>
        <d v="2021-12-01T00:00:00"/>
        <d v="2021-12-02T00:00:00"/>
        <d v="2021-12-03T00:00:00"/>
        <d v="2021-12-04T00:00:00"/>
        <d v="2021-12-05T00:00:00"/>
        <d v="2021-12-06T00:00:00"/>
        <d v="2021-12-07T00:00:00"/>
        <d v="2021-12-08T00:00:00"/>
        <d v="2021-12-09T00:00:00"/>
        <d v="2021-12-10T00:00:00"/>
        <d v="2021-12-11T00:00:00"/>
        <d v="2021-12-12T00:00:00"/>
        <d v="2021-12-13T00:00:00"/>
        <d v="2021-12-14T00:00:00"/>
        <d v="2021-12-15T00:00:00"/>
        <d v="2021-12-16T00:00:00"/>
        <d v="2021-12-17T00:00:00"/>
        <d v="2021-12-18T00:00:00"/>
        <d v="2021-12-19T00:00:00"/>
        <d v="2021-12-20T00:00:00"/>
        <d v="2021-12-21T00:00:00"/>
        <d v="2021-12-22T00:00:00"/>
        <d v="2021-12-23T00:00:00"/>
        <d v="2021-12-24T00:00:00"/>
        <d v="2021-12-25T00:00:00"/>
        <d v="2021-12-26T00:00:00"/>
        <d v="2021-12-27T00:00:00"/>
        <d v="2021-12-28T00:00:00"/>
        <d v="2021-12-29T00:00:00"/>
        <d v="2021-12-30T00:00:00"/>
        <d v="2021-12-31T00:00:00"/>
        <d v="2022-01-01T00:00:00"/>
        <d v="2022-01-02T00:00:00"/>
        <d v="2022-01-03T00:00:00"/>
        <d v="2022-01-04T00:00:00"/>
        <d v="2022-01-05T00:00:00"/>
        <d v="2022-01-06T00:00:00"/>
        <d v="2022-01-07T00:00:00"/>
        <d v="2022-01-08T00:00:00"/>
        <d v="2022-01-09T00:00:00"/>
        <d v="2022-01-10T00:00:00"/>
        <d v="2022-01-11T00:00:00"/>
        <d v="2022-01-12T00:00:00"/>
        <d v="2022-01-13T00:00:00"/>
        <d v="2022-01-14T00:00:00"/>
        <d v="2022-01-15T00:00:00"/>
        <d v="2022-01-16T00:00:00"/>
        <d v="2022-01-17T00:00:00"/>
        <d v="2022-01-18T00:00:00"/>
        <d v="2022-01-19T00:00:00"/>
        <d v="2022-01-20T00:00:00"/>
        <d v="2022-01-21T00:00:00"/>
        <d v="2022-01-22T00:00:00"/>
        <d v="2022-01-23T00:00:00"/>
        <d v="2022-01-24T00:00:00"/>
        <d v="2022-01-25T00:00:00"/>
        <d v="2022-01-26T00:00:00"/>
        <d v="2022-01-27T00:00:00"/>
        <d v="2022-01-28T00:00:00"/>
        <d v="2022-01-29T00:00:00"/>
        <d v="2022-01-30T00:00:00"/>
        <d v="2022-01-31T00:00:00"/>
        <d v="2022-02-01T00:00:00"/>
        <d v="2022-02-02T00:00:00"/>
        <d v="2022-02-03T00:00:00"/>
        <d v="2022-02-04T00:00:00"/>
        <d v="2022-02-05T00:00:00"/>
        <d v="2022-02-06T00:00:00"/>
        <d v="2022-02-07T00:00:00"/>
        <d v="2022-02-08T00:00:00"/>
        <d v="2022-02-09T00:00:00"/>
        <d v="2022-02-10T00:00:00"/>
        <d v="2022-02-11T00:00:00"/>
        <d v="2022-02-12T00:00:00"/>
        <d v="2022-02-13T00:00:00"/>
        <d v="2022-02-14T00:00:00"/>
        <d v="2022-02-15T00:00:00"/>
        <d v="2022-02-16T00:00:00"/>
        <d v="2022-02-17T00:00:00"/>
        <d v="2022-02-18T00:00:00"/>
        <d v="2022-02-19T00:00:00"/>
        <d v="2022-02-20T00:00:00"/>
        <d v="2022-02-21T00:00:00"/>
        <d v="2022-02-22T00:00:00"/>
        <d v="2022-02-23T00:00:00"/>
        <d v="2022-02-24T00:00:00"/>
        <d v="2022-02-25T00:00:00"/>
        <d v="2022-02-26T00:00:00"/>
        <d v="2022-02-27T00:00:00"/>
        <d v="2022-02-28T00:00:00"/>
        <d v="2022-03-01T00:00:00"/>
        <d v="2022-03-02T00:00:00"/>
        <d v="2022-03-03T00:00:00"/>
        <d v="2022-03-04T00:00:00"/>
        <d v="2022-03-05T00:00:00"/>
        <d v="2022-03-06T00:00:00"/>
        <d v="2022-03-07T00:00:00"/>
        <d v="2022-03-08T00:00:00"/>
        <d v="2022-03-09T00:00:00"/>
        <d v="2022-03-10T00:00:00"/>
        <d v="2022-03-11T00:00:00"/>
        <d v="2022-03-12T00:00:00"/>
        <d v="2022-03-13T00:00:00"/>
        <d v="2022-03-14T00:00:00"/>
        <d v="2022-03-15T00:00:00"/>
        <d v="2022-03-16T00:00:00"/>
        <d v="2022-03-17T00:00:00"/>
        <d v="2022-03-18T00:00:00"/>
        <d v="2022-03-19T00:00:00"/>
        <d v="2022-03-20T00:00:00"/>
        <d v="2022-03-21T00:00:00"/>
        <d v="2022-03-22T00:00:00"/>
        <d v="2022-03-23T00:00:00"/>
        <d v="2022-03-24T00:00:00"/>
        <d v="2022-03-25T00:00:00"/>
        <d v="2022-03-26T00:00:00"/>
        <d v="2022-03-27T00:00:00"/>
        <d v="2022-03-28T00:00:00"/>
        <d v="2022-03-29T00:00:00"/>
        <d v="2022-03-30T00:00:00"/>
        <d v="2022-03-31T00:00:00"/>
        <d v="2022-04-01T00:00:00"/>
        <d v="2022-04-02T00:00:00"/>
        <d v="2022-04-03T00:00:00"/>
        <d v="2022-04-04T00:00:00"/>
        <d v="2022-04-05T00:00:00"/>
        <d v="2022-04-06T00:00:00"/>
        <d v="2022-04-07T00:00:00"/>
        <d v="2022-04-08T00:00:00"/>
        <d v="2022-04-09T00:00:00"/>
        <d v="2022-04-10T00:00:00"/>
        <d v="2022-04-11T00:00:00"/>
        <d v="2022-04-12T00:00:00"/>
        <d v="2022-04-13T00:00:00"/>
        <d v="2022-04-14T00:00:00"/>
        <d v="2022-04-15T00:00:00"/>
        <d v="2022-04-16T00:00:00"/>
        <d v="2022-04-17T00:00:00"/>
        <d v="2022-04-18T00:00:00"/>
        <d v="2022-04-19T00:00:00"/>
        <d v="2022-04-20T00:00:00"/>
        <d v="2022-04-21T00:00:00"/>
        <d v="2022-04-22T00:00:00"/>
        <d v="2022-04-23T00:00:00"/>
        <d v="2022-04-24T00:00:00"/>
        <d v="2022-04-25T00:00:00"/>
        <d v="2022-04-26T00:00:00"/>
        <d v="2022-04-27T00:00:00"/>
        <d v="2022-04-28T00:00:00"/>
        <d v="2022-04-29T00:00:00"/>
        <d v="2022-04-30T00:00:00"/>
        <d v="2022-05-01T00:00:00"/>
        <d v="2022-05-02T00:00:00"/>
        <d v="2022-05-03T00:00:00"/>
        <d v="2022-05-04T00:00:00"/>
        <d v="2022-05-05T00:00:00"/>
        <d v="2022-05-06T00:00:00"/>
        <d v="2022-05-07T00:00:00"/>
        <d v="2022-05-08T00:00:00"/>
        <d v="2022-05-09T00:00:00"/>
        <d v="2022-05-10T00:00:00"/>
        <d v="2022-05-11T00:00:00"/>
        <d v="2022-05-12T00:00:00"/>
        <d v="2022-05-13T00:00:00"/>
        <d v="2022-05-14T00:00:00"/>
        <d v="2022-05-15T00:00:00"/>
        <d v="2022-05-16T00:00:00"/>
        <d v="2022-05-17T00:00:00"/>
        <d v="2022-05-18T00:00:00"/>
        <d v="2022-05-19T00:00:00"/>
        <d v="2022-05-20T00:00:00"/>
        <d v="2022-05-21T00:00:00"/>
        <d v="2022-05-22T00:00:00"/>
        <d v="2022-05-23T00:00:00"/>
        <d v="2022-05-24T00:00:00"/>
        <d v="2022-05-25T00:00:00"/>
        <d v="2022-05-26T00:00:00"/>
        <d v="2022-05-27T00:00:00"/>
        <d v="2022-05-28T00:00:00"/>
        <d v="2022-05-29T00:00:00"/>
        <d v="2022-05-30T00:00:00"/>
        <d v="2022-05-31T00:00:00"/>
        <d v="2022-06-01T00:00:00"/>
        <d v="2022-06-02T00:00:00"/>
        <d v="2022-06-03T00:00:00"/>
        <d v="2022-06-04T00:00:00"/>
        <d v="2022-06-05T00:00:00"/>
        <d v="2022-06-06T00:00:00"/>
        <d v="2022-06-07T00:00:00"/>
        <d v="2022-06-08T00:00:00"/>
        <d v="2022-06-09T00:00:00"/>
        <d v="2022-06-10T00:00:00"/>
        <d v="2022-06-11T00:00:00"/>
        <d v="2022-06-12T00:00:00"/>
        <d v="2022-06-13T00:00:00"/>
        <d v="2022-06-14T00:00:00"/>
        <d v="2022-06-15T00:00:00"/>
        <d v="2022-06-16T00:00:00"/>
        <d v="2022-06-17T00:00:00"/>
        <d v="2022-06-18T00:00:00"/>
        <d v="2022-06-19T00:00:00"/>
        <d v="2022-06-20T00:00:00"/>
        <d v="2022-06-21T00:00:00"/>
        <d v="2022-06-22T00:00:00"/>
        <d v="2022-06-23T00:00:00"/>
        <d v="2022-06-24T00:00:00"/>
        <d v="2022-06-25T00:00:00"/>
        <d v="2022-06-26T00:00:00"/>
        <d v="2022-06-27T00:00:00"/>
        <d v="2022-06-28T00:00:00"/>
        <d v="2022-06-29T00:00:00"/>
        <d v="2022-06-30T00:00:00"/>
        <d v="2022-07-01T00:00:00"/>
        <d v="2022-07-02T00:00:00"/>
        <d v="2022-07-03T00:00:00"/>
        <d v="2022-07-04T00:00:00"/>
        <d v="2022-07-05T00:00:00"/>
        <d v="2022-07-06T00:00:00"/>
        <d v="2022-07-07T00:00:00"/>
        <d v="2022-07-08T00:00:00"/>
        <d v="2022-07-09T00:00:00"/>
        <d v="2022-07-10T00:00:00"/>
        <d v="2022-07-11T00:00:00"/>
        <d v="2022-07-12T00:00:00"/>
        <d v="2022-07-13T00:00:00"/>
        <d v="2022-07-14T00:00:00"/>
        <d v="2022-07-15T00:00:00"/>
        <d v="2022-07-16T00:00:00"/>
        <d v="2022-07-17T00:00:00"/>
        <d v="2022-07-18T00:00:00"/>
        <d v="2022-07-19T00:00:00"/>
        <d v="2022-07-20T00:00:00"/>
        <d v="2022-07-21T00:00:00"/>
        <d v="2022-07-22T00:00:00"/>
        <d v="2022-07-23T00:00:00"/>
        <d v="2022-07-24T00:00:00"/>
        <d v="2022-07-25T00:00:00"/>
        <d v="2022-07-26T00:00:00"/>
        <d v="2022-07-27T00:00:00"/>
        <d v="2022-07-28T00:00:00"/>
        <d v="2022-07-29T00:00:00"/>
        <d v="2022-07-30T00:00:00"/>
        <d v="2022-07-31T00:00:00"/>
        <d v="2022-08-01T00:00:00"/>
        <d v="2022-08-02T00:00:00"/>
        <d v="2022-08-03T00:00:00"/>
        <d v="2022-08-04T00:00:00"/>
        <d v="2022-08-05T00:00:00"/>
        <d v="2022-08-06T00:00:00"/>
        <d v="2022-08-07T00:00:00"/>
        <d v="2022-08-08T00:00:00"/>
        <d v="2022-08-09T00:00:00"/>
        <d v="2022-08-10T00:00:00"/>
        <d v="2022-08-11T00:00:00"/>
        <d v="2022-08-12T00:00:00"/>
        <d v="2022-08-13T00:00:00"/>
        <d v="2022-08-14T00:00:00"/>
        <d v="2022-08-15T00:00:00"/>
        <d v="2022-08-16T00:00:00"/>
        <d v="2022-08-17T00:00:00"/>
        <d v="2022-08-18T00:00:00"/>
        <d v="2022-08-19T00:00:00"/>
        <d v="2022-08-20T00:00:00"/>
        <d v="2022-08-21T00:00:00"/>
        <d v="2022-08-22T00:00:00"/>
        <d v="2022-08-23T00:00:00"/>
        <d v="2022-08-24T00:00:00"/>
        <d v="2022-08-25T00:00:00"/>
        <d v="2022-08-26T00:00:00"/>
        <d v="2022-08-27T00:00:00"/>
        <d v="2022-08-28T00:00:00"/>
        <d v="2022-08-29T00:00:00"/>
        <d v="2022-08-30T00:00:00"/>
        <d v="2022-08-31T00:00:00"/>
        <d v="2022-09-01T00:00:00"/>
        <d v="2022-09-02T00:00:00"/>
        <d v="2022-09-03T00:00:00"/>
        <d v="2022-09-04T00:00:00"/>
        <d v="2022-09-05T00:00:00"/>
        <d v="2022-09-06T00:00:00"/>
        <d v="2022-09-07T00:00:00"/>
        <d v="2022-09-08T00:00:00"/>
        <d v="2022-09-09T00:00:00"/>
        <d v="2022-09-10T00:00:00"/>
        <d v="2022-09-11T00:00:00"/>
        <d v="2022-09-12T00:00:00"/>
        <d v="2022-09-13T00:00:00"/>
        <d v="2022-09-14T00:00:00"/>
        <d v="2022-09-15T00:00:00"/>
        <d v="2022-09-16T00:00:00"/>
        <d v="2022-09-17T00:00:00"/>
        <d v="2022-09-18T00:00:00"/>
        <d v="2022-09-19T00:00:00"/>
        <d v="2022-09-20T00:00:00"/>
        <d v="2022-09-21T00:00:00"/>
        <d v="2022-09-22T00:00:00"/>
        <d v="2022-09-23T00:00:00"/>
        <d v="2022-09-24T00:00:00"/>
        <d v="2022-09-25T00:00:00"/>
        <d v="2022-09-26T00:00:00"/>
        <d v="2022-09-27T00:00:00"/>
        <d v="2022-09-28T00:00:00"/>
        <d v="2022-09-29T00:00:00"/>
        <d v="2022-09-30T00:00:00"/>
        <d v="2022-10-01T00:00:00"/>
        <d v="2022-10-02T00:00:00"/>
        <d v="2022-10-03T00:00:00"/>
        <d v="2022-10-04T00:00:00"/>
        <d v="2022-10-05T00:00:00"/>
        <d v="2022-10-06T00:00:00"/>
        <d v="2022-10-07T00:00:00"/>
        <d v="2022-10-08T00:00:00"/>
        <d v="2022-10-09T00:00:00"/>
        <d v="2022-10-10T00:00:00"/>
        <d v="2022-10-11T00:00:00"/>
        <d v="2022-10-12T00:00:00"/>
        <d v="2022-10-13T00:00:00"/>
        <d v="2022-10-14T00:00:00"/>
        <d v="2022-10-15T00:00:00"/>
        <d v="2022-10-16T00:00:00"/>
        <d v="2022-10-17T00:00:00"/>
        <d v="2022-10-18T00:00:00"/>
        <d v="2022-10-19T00:00:00"/>
        <d v="2022-10-20T00:00:00"/>
        <d v="2022-10-21T00:00:00"/>
        <d v="2022-10-22T00:00:00"/>
        <d v="2022-10-23T00:00:00"/>
        <d v="2022-10-24T00:00:00"/>
        <d v="2022-10-25T00:00:00"/>
        <d v="2022-10-26T00:00:00"/>
        <d v="2022-10-27T00:00:00"/>
        <d v="2022-10-28T00:00:00"/>
        <d v="2022-10-29T00:00:00"/>
        <d v="2022-10-30T00:00:00"/>
        <d v="2022-10-31T00:00:00"/>
        <d v="2022-11-01T00:00:00"/>
        <d v="2022-11-02T00:00:00"/>
        <d v="2022-11-03T00:00:00"/>
        <d v="2022-11-04T00:00:00"/>
        <d v="2022-11-05T00:00:00"/>
        <d v="2022-11-06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  <d v="2022-11-26T00:00:00"/>
        <d v="2022-11-27T00:00:00"/>
        <d v="2022-11-28T00:00:00"/>
        <d v="2022-11-29T00:00:00"/>
        <d v="2022-11-30T00:00:00"/>
        <d v="2022-12-01T00:00:00"/>
        <d v="2022-12-02T00:00:00"/>
        <d v="2022-12-03T00:00:00"/>
        <d v="2022-12-04T00:00:00"/>
        <d v="2022-12-05T00:00:00"/>
        <d v="2022-12-06T00:00:00"/>
        <d v="2022-12-07T00:00:00"/>
        <d v="2022-12-08T00:00:00"/>
        <d v="2022-12-09T00:00:00"/>
        <d v="2022-12-10T00:00:00"/>
        <d v="2022-12-11T00:00:00"/>
        <d v="2022-12-12T00:00:00"/>
        <d v="2022-12-13T00:00:00"/>
        <d v="2022-12-14T00:00:00"/>
        <d v="2022-12-15T00:00:00"/>
        <d v="2022-12-16T00:00:00"/>
        <d v="2022-12-17T00:00:00"/>
        <d v="2022-12-18T00:00:00"/>
        <d v="2022-12-19T00:00:00"/>
        <d v="2022-12-20T00:00:00"/>
        <d v="2022-12-21T00:00:00"/>
        <d v="2022-12-22T00:00:00"/>
        <d v="2022-12-23T00:00:00"/>
        <d v="2022-12-24T00:00:00"/>
        <d v="2022-12-25T00:00:00"/>
        <d v="2022-12-26T00:00:00"/>
        <d v="2022-12-27T00:00:00"/>
        <d v="2022-12-28T00:00:00"/>
        <d v="2022-12-29T00:00:00"/>
        <d v="2022-12-30T00:00:00"/>
        <d v="2022-12-31T00:00:00"/>
        <d v="2023-01-01T00:00:00"/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1-31T00:00:00"/>
        <d v="2023-02-01T00:00:00"/>
        <d v="2023-02-02T00:00:00"/>
        <d v="2023-02-03T00:00:00"/>
        <d v="2023-02-04T00:00:00"/>
        <d v="2023-02-05T00:00:00"/>
        <d v="2023-02-06T00:00:00"/>
        <d v="2023-02-07T00:00:00"/>
        <d v="2023-02-08T00:00:00"/>
        <d v="2023-02-09T00:00:00"/>
        <d v="2023-02-10T00:00:00"/>
        <d v="2023-02-11T00:00:00"/>
        <d v="2023-02-12T00:00:00"/>
        <d v="2023-02-13T00:00:00"/>
        <d v="2023-02-14T00:00:00"/>
        <d v="2023-02-15T00:00:00"/>
        <d v="2023-02-16T00:00:00"/>
        <d v="2023-02-17T00:00:00"/>
        <d v="2023-02-18T00:00:00"/>
        <d v="2023-02-19T00:00:00"/>
        <d v="2023-02-20T00:00:00"/>
        <d v="2023-02-21T00:00:00"/>
        <d v="2023-02-22T00:00:00"/>
        <d v="2023-02-23T00:00:00"/>
        <d v="2023-02-24T00:00:00"/>
        <d v="2023-02-25T00:00:00"/>
        <d v="2023-02-26T00:00:00"/>
        <d v="2023-02-27T00:00:00"/>
        <d v="2023-02-28T00:00:00"/>
        <d v="2023-03-01T00:00:00"/>
        <d v="2023-03-02T00:00:00"/>
        <d v="2023-03-03T00:00:00"/>
        <d v="2023-03-04T00:00:00"/>
        <d v="2023-03-05T00:00:00"/>
        <d v="2023-03-06T00:00:00"/>
        <d v="2023-03-07T00:00:00"/>
        <d v="2023-03-08T00:00:00"/>
        <d v="2023-03-09T00:00:00"/>
        <d v="2023-03-10T00:00:00"/>
        <d v="2023-03-11T00:00:00"/>
        <d v="2023-03-12T00:00:00"/>
        <d v="2023-03-13T00:00:00"/>
        <d v="2023-03-14T00:00:00"/>
        <d v="2023-03-15T00:00:00"/>
        <d v="2023-03-16T00:00:00"/>
        <d v="2023-03-17T00:00:00"/>
        <d v="2023-03-18T00:00:00"/>
        <d v="2023-03-19T00:00:00"/>
        <d v="2023-03-20T00:00:00"/>
        <d v="2023-03-21T00:00:00"/>
        <d v="2023-03-22T00:00:00"/>
        <d v="2023-03-23T00:00:00"/>
        <d v="2023-03-24T00:00:00"/>
        <d v="2023-03-25T00:00:00"/>
        <d v="2023-03-26T00:00:00"/>
        <d v="2023-03-27T00:00:00"/>
        <d v="2023-03-28T00:00:00"/>
        <d v="2023-03-29T00:00:00"/>
        <d v="2023-03-30T00:00:00"/>
        <d v="2023-03-31T00:00:00"/>
        <d v="2023-04-01T00:00:00"/>
        <d v="2023-04-02T00:00:00"/>
        <d v="2023-04-03T00:00:00"/>
        <d v="2023-04-04T00:00:00"/>
        <d v="2023-04-05T00:00:00"/>
        <d v="2023-04-06T00:00:00"/>
        <d v="2023-04-07T00:00:00"/>
        <d v="2023-04-08T00:00:00"/>
        <d v="2023-04-09T00:00:00"/>
        <d v="2023-04-10T00:00:00"/>
        <d v="2023-04-11T00:00:00"/>
        <d v="2023-04-12T00:00:00"/>
        <d v="2023-04-13T00:00:00"/>
        <d v="2023-04-14T00:00:00"/>
        <d v="2023-04-15T00:00:00"/>
        <d v="2023-04-16T00:00:00"/>
        <d v="2023-04-17T00:00:00"/>
        <d v="2023-04-18T00:00:00"/>
        <d v="2023-04-19T00:00:00"/>
        <d v="2023-04-20T00:00:00"/>
        <d v="2023-04-21T00:00:00"/>
        <d v="2023-04-22T00:00:00"/>
        <d v="2023-04-23T00:00:00"/>
        <d v="2023-04-24T00:00:00"/>
        <d v="2023-04-25T00:00:00"/>
        <d v="2023-04-26T00:00:00"/>
        <d v="2023-04-27T00:00:00"/>
        <d v="2023-04-28T00:00:00"/>
        <d v="2023-04-29T00:00:00"/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7T00:00:00"/>
        <d v="2023-05-08T00:00:00"/>
        <d v="2023-05-09T00:00:00"/>
        <d v="2023-05-10T00:00:00"/>
        <d v="2023-05-11T00:00:00"/>
        <d v="2023-05-12T00:00:00"/>
        <d v="2023-05-13T00:00:00"/>
        <d v="2023-05-14T00:00:00"/>
        <d v="2023-05-15T00:00:00"/>
        <d v="2023-05-16T00:00:00"/>
        <d v="2023-05-17T00:00:00"/>
        <d v="2023-05-18T00:00:00"/>
        <d v="2023-05-19T00:00:00"/>
        <d v="2023-05-20T00:00:00"/>
        <d v="2023-05-21T00:00:00"/>
        <d v="2023-05-22T00:00:00"/>
        <d v="2023-05-23T00:00:00"/>
        <d v="2023-05-24T00:00:00"/>
        <d v="2023-05-25T00:00:00"/>
        <d v="2023-05-26T00:00:00"/>
        <d v="2023-05-27T00:00:00"/>
        <d v="2023-05-28T00:00:00"/>
        <d v="2023-05-29T00:00:00"/>
        <d v="2023-05-30T00:00:00"/>
        <d v="2023-05-31T00:00:00"/>
        <d v="2023-06-01T00:00:00"/>
        <d v="2023-06-02T00:00:00"/>
        <d v="2023-06-03T00:00:00"/>
        <d v="2023-06-04T00:00:00"/>
        <d v="2023-06-05T00:00:00"/>
        <d v="2023-06-06T00:00:00"/>
        <d v="2023-06-07T00:00:00"/>
        <d v="2023-06-08T00:00:00"/>
        <d v="2023-06-09T00:00:00"/>
        <d v="2023-06-10T00:00:00"/>
        <d v="2023-06-11T00:00:00"/>
        <d v="2023-06-12T00:00:00"/>
        <d v="2023-06-13T00:00:00"/>
        <d v="2023-06-14T00:00:00"/>
        <d v="2023-06-15T00:00:00"/>
        <d v="2023-06-16T00:00:00"/>
        <d v="2023-06-17T00:00:00"/>
        <d v="2023-06-18T00:00:00"/>
        <d v="2023-06-19T00:00:00"/>
        <d v="2023-06-20T00:00:00"/>
        <d v="2023-06-21T00:00:00"/>
        <d v="2023-06-22T00:00:00"/>
        <d v="2023-06-23T00:00:00"/>
        <d v="2023-06-24T00:00:00"/>
        <d v="2023-06-25T00:00:00"/>
        <d v="2023-06-26T00:00:00"/>
        <d v="2023-06-27T00:00:00"/>
        <d v="2023-06-28T00:00:00"/>
        <d v="2023-06-29T00:00:00"/>
        <d v="2023-06-30T00:00:00"/>
        <d v="2023-07-01T00:00:00"/>
        <d v="2023-07-02T00:00:00"/>
        <d v="2023-07-03T00:00:00"/>
        <d v="2023-07-04T00:00:00"/>
        <d v="2023-07-05T00:00:00"/>
        <d v="2023-07-06T00:00:00"/>
        <d v="2023-07-07T00:00:00"/>
        <d v="2023-07-08T00:00:00"/>
        <d v="2023-07-09T00:00:00"/>
        <d v="2023-07-10T00:00:00"/>
        <d v="2023-07-11T00:00:00"/>
        <d v="2023-07-12T00:00:00"/>
        <d v="2023-07-13T00:00:00"/>
        <d v="2023-07-14T00:00:00"/>
        <d v="2023-07-15T00:00:00"/>
        <d v="2023-07-16T00:00:00"/>
        <d v="2023-07-17T00:00:00"/>
        <d v="2023-07-18T00:00:00"/>
        <d v="2023-07-19T00:00:00"/>
        <d v="2023-07-20T00:00:00"/>
        <d v="2023-07-21T00:00:00"/>
        <d v="2023-07-22T00:00:00"/>
        <d v="2023-07-23T00:00:00"/>
        <d v="2023-07-24T00:00:00"/>
        <d v="2023-07-25T00:00:00"/>
        <d v="2023-07-26T00:00:00"/>
        <d v="2023-07-27T00:00:00"/>
        <d v="2023-07-28T00:00:00"/>
        <d v="2023-07-29T00:00:00"/>
        <d v="2023-07-30T00:00:00"/>
        <d v="2023-07-31T00:00:00"/>
        <d v="2023-08-01T00:00:00"/>
        <d v="2023-08-02T00:00:00"/>
        <d v="2023-08-03T00:00:00"/>
        <d v="2023-08-04T00:00:00"/>
        <d v="2023-08-05T00:00:00"/>
        <d v="2023-08-06T00:00:00"/>
        <d v="2023-08-07T00:00:00"/>
        <d v="2023-08-08T00:00:00"/>
        <d v="2023-08-09T00:00:00"/>
        <d v="2023-08-10T00:00:00"/>
        <d v="2023-08-11T00:00:00"/>
        <d v="2023-08-12T00:00:00"/>
        <d v="2023-08-13T00:00:00"/>
        <d v="2023-08-14T00:00:00"/>
        <d v="2023-08-15T00:00:00"/>
        <d v="2023-08-16T00:00:00"/>
        <d v="2023-08-17T00:00:00"/>
        <d v="2023-08-18T00:00:00"/>
        <d v="2023-08-19T00:00:00"/>
        <d v="2023-08-20T00:00:00"/>
        <d v="2023-08-21T00:00:00"/>
        <d v="2023-08-22T00:00:00"/>
        <d v="2023-08-23T00:00:00"/>
        <d v="2023-08-24T00:00:00"/>
        <d v="2023-08-25T00:00:00"/>
        <d v="2023-08-26T00:00:00"/>
        <d v="2023-08-27T00:00:00"/>
        <d v="2023-08-28T00:00:00"/>
        <d v="2023-08-29T00:00:00"/>
        <d v="2023-08-30T00:00:00"/>
        <d v="2023-08-31T00:00:00"/>
        <d v="2023-09-01T00:00:00"/>
        <d v="2023-09-02T00:00:00"/>
        <d v="2023-09-03T00:00:00"/>
        <d v="2023-09-04T00:00:00"/>
        <d v="2023-09-05T00:00:00"/>
        <d v="2023-09-06T00:00:00"/>
        <d v="2023-09-07T00:00:00"/>
        <d v="2023-09-08T00:00:00"/>
        <d v="2023-09-09T00:00:00"/>
        <d v="2023-09-10T00:00:00"/>
        <d v="2023-09-11T00:00:00"/>
        <d v="2023-09-12T00:00:00"/>
        <d v="2023-09-13T00:00:00"/>
        <d v="2023-09-14T00:00:00"/>
        <d v="2023-09-15T00:00:00"/>
        <d v="2023-09-16T00:00:00"/>
        <d v="2023-09-17T00:00:00"/>
        <d v="2023-09-18T00:00:00"/>
        <d v="2023-09-19T00:00:00"/>
        <d v="2023-09-20T00:00:00"/>
        <d v="2023-09-21T00:00:00"/>
        <d v="2023-09-22T00:00:00"/>
        <d v="2023-09-23T00:00:00"/>
        <d v="2023-09-24T00:00:00"/>
        <d v="2023-09-25T00:00:00"/>
        <d v="2023-09-26T00:00:00"/>
        <d v="2023-09-27T00:00:00"/>
        <d v="2023-09-28T00:00:00"/>
        <d v="2023-09-29T00:00:00"/>
        <d v="2023-09-30T00:00:00"/>
        <d v="2023-10-01T00:00:00"/>
        <d v="2023-10-02T00:00:00"/>
        <d v="2023-10-03T00:00:00"/>
        <d v="2023-10-04T00:00:00"/>
        <d v="2023-10-05T00:00:00"/>
        <d v="2023-10-06T00:00:00"/>
        <d v="2023-10-07T00:00:00"/>
        <d v="2023-10-08T00:00:00"/>
        <d v="2023-10-09T00:00:00"/>
        <d v="2023-10-10T00:00:00"/>
        <d v="2023-10-11T00:00:00"/>
        <d v="2023-10-12T00:00:00"/>
        <d v="2023-10-13T00:00:00"/>
        <d v="2023-10-14T00:00:00"/>
        <d v="2023-10-15T00:00:00"/>
        <d v="2023-10-16T00:00:00"/>
        <d v="2023-10-17T00:00:00"/>
        <d v="2023-10-18T00:00:00"/>
        <d v="2023-10-19T00:00:00"/>
        <d v="2023-10-20T00:00:00"/>
        <d v="2023-10-21T00:00:00"/>
        <d v="2023-10-22T00:00:00"/>
        <d v="2023-10-23T00:00:00"/>
        <d v="2023-10-24T00:00:00"/>
        <d v="2023-10-25T00:00:00"/>
        <d v="2023-10-26T00:00:00"/>
        <d v="2023-10-27T00:00:00"/>
        <d v="2023-10-28T00:00:00"/>
        <d v="2023-10-29T00:00:00"/>
        <d v="2023-10-30T00:00:00"/>
        <d v="2023-10-31T00:00:00"/>
        <d v="2023-11-01T00:00:00"/>
        <d v="2023-11-02T00:00:00"/>
        <d v="2023-11-03T00:00:00"/>
        <d v="2023-11-04T00:00:00"/>
        <d v="2023-11-05T00:00:00"/>
        <d v="2023-11-06T00:00:00"/>
        <d v="2023-11-07T00:00:00"/>
        <d v="2023-11-08T00:00:00"/>
        <d v="2023-11-09T00:00:00"/>
        <d v="2023-11-10T00:00:00"/>
        <d v="2023-11-11T00:00:00"/>
        <d v="2023-11-12T00:00:00"/>
        <d v="2023-11-13T00:00:00"/>
        <d v="2023-11-14T00:00:00"/>
        <d v="2023-11-15T00:00:00"/>
        <d v="2023-11-16T00:00:00"/>
        <d v="2023-11-17T00:00:00"/>
        <d v="2023-11-18T00:00:00"/>
        <d v="2023-11-19T00:00:00"/>
        <d v="2023-11-20T00:00:00"/>
        <d v="2023-11-21T00:00:00"/>
        <d v="2023-11-22T00:00:00"/>
        <d v="2023-11-23T00:00:00"/>
        <d v="2023-11-24T00:00:00"/>
        <d v="2023-11-25T00:00:00"/>
        <d v="2023-11-26T00:00:00"/>
        <d v="2023-11-27T00:00:00"/>
        <d v="2023-11-28T00:00:00"/>
        <d v="2023-11-29T00:00:00"/>
        <d v="2023-11-30T00:00:00"/>
        <d v="2023-12-01T00:00:00"/>
        <d v="2023-12-02T00:00:00"/>
        <d v="2023-12-03T00:00:00"/>
        <d v="2023-12-04T00:00:00"/>
        <d v="2023-12-05T00:00:00"/>
        <d v="2023-12-06T00:00:00"/>
        <d v="2023-12-07T00:00:00"/>
        <d v="2023-12-08T00:00:00"/>
        <d v="2023-12-09T00:00:00"/>
        <d v="2023-12-10T00:00:00"/>
        <d v="2023-12-11T00:00:00"/>
        <d v="2023-12-12T00:00:00"/>
        <d v="2023-12-13T00:00:00"/>
        <d v="2023-12-14T00:00:00"/>
        <d v="2023-12-15T00:00:00"/>
        <d v="2023-12-16T00:00:00"/>
        <d v="2023-12-17T00:00:00"/>
        <d v="2023-12-18T00:00:00"/>
        <d v="2023-12-19T00:00:00"/>
        <d v="2023-12-20T00:00:00"/>
        <d v="2023-12-21T00:00:00"/>
        <d v="2023-12-22T00:00:00"/>
        <d v="2023-12-23T00:00:00"/>
        <d v="2023-12-24T00:00:00"/>
        <d v="2023-12-25T00:00:00"/>
        <d v="2023-12-26T00:00:00"/>
        <d v="2023-12-27T00:00:00"/>
        <d v="2023-12-28T00:00:00"/>
        <d v="2023-12-29T00:00:00"/>
        <d v="2023-12-30T00:00:00"/>
        <d v="2023-12-31T00:00:00"/>
        <d v="2024-01-01T00:00:00"/>
        <d v="2024-01-02T00:00:00"/>
        <d v="2024-01-03T00:00:00"/>
        <d v="2024-01-04T00:00:00"/>
        <d v="2024-01-05T00:00:00"/>
        <d v="2024-01-06T00:00:00"/>
        <d v="2024-01-07T00:00:00"/>
        <d v="2024-01-08T00:00:00"/>
        <d v="2024-01-09T00:00:00"/>
        <d v="2024-01-10T00:00:00"/>
        <d v="2024-01-11T00:00:00"/>
        <d v="2024-01-12T00:00:00"/>
        <d v="2024-01-13T00:00:00"/>
        <d v="2024-01-14T00:00:00"/>
        <d v="2024-01-15T00:00:00"/>
        <d v="2024-01-16T00:00:00"/>
        <d v="2024-01-17T00:00:00"/>
        <d v="2024-01-18T00:00:00"/>
        <d v="2024-01-19T00:00:00"/>
        <d v="2024-01-20T00:00:00"/>
        <d v="2024-01-21T00:00:00"/>
        <d v="2024-01-22T00:00:00"/>
        <d v="2024-01-23T00:00:00"/>
        <d v="2024-01-24T00:00:00"/>
        <d v="2024-01-25T00:00:00"/>
        <d v="2024-01-26T00:00:00"/>
        <d v="2024-01-27T00:00:00"/>
        <d v="2024-01-28T00:00:00"/>
        <d v="2024-01-29T00:00:00"/>
        <d v="2024-01-30T00:00:00"/>
        <d v="2024-01-31T00:00:00"/>
        <d v="2024-02-01T00:00:00"/>
        <d v="2024-02-02T00:00:00"/>
        <d v="2024-02-03T00:00:00"/>
        <d v="2024-02-04T00:00:00"/>
        <d v="2024-02-05T00:00:00"/>
        <d v="2024-02-06T00:00:00"/>
        <d v="2024-02-07T00:00:00"/>
        <d v="2024-02-08T00:00:00"/>
        <d v="2024-02-09T00:00:00"/>
        <d v="2024-02-10T00:00:00"/>
        <d v="2024-02-11T00:00:00"/>
        <d v="2024-02-12T00:00:00"/>
        <d v="2024-02-13T00:00:00"/>
        <d v="2024-02-14T00:00:00"/>
        <d v="2024-02-15T00:00:00"/>
        <d v="2024-02-16T00:00:00"/>
        <d v="2024-02-17T00:00:00"/>
        <d v="2024-02-18T00:00:00"/>
        <d v="2024-02-19T00:00:00"/>
        <d v="2024-02-20T00:00:00"/>
        <d v="2024-02-21T00:00:00"/>
        <d v="2024-02-22T00:00:00"/>
        <d v="2024-02-23T00:00:00"/>
        <d v="2024-02-24T00:00:00"/>
        <d v="2024-02-25T00:00:00"/>
        <d v="2024-02-26T00:00:00"/>
        <d v="2024-02-27T00:00:00"/>
        <d v="2024-02-28T00:00:00"/>
        <d v="2024-02-29T00:00:00"/>
        <d v="2024-03-01T00:00:00"/>
        <d v="2024-03-02T00:00:00"/>
        <d v="2024-03-03T00:00:00"/>
        <d v="2024-03-04T00:00:00"/>
        <d v="2024-03-05T00:00:00"/>
        <d v="2024-03-06T00:00:00"/>
        <d v="2024-03-07T00:00:00"/>
        <d v="2024-03-08T00:00:00"/>
        <d v="2024-03-09T00:00:00"/>
        <d v="2024-03-10T00:00:00"/>
        <d v="2024-03-11T00:00:00"/>
        <d v="2024-03-12T00:00:00"/>
        <d v="2024-03-13T00:00:00"/>
        <d v="2024-03-14T00:00:00"/>
        <d v="2024-03-15T00:00:00"/>
        <d v="2024-03-16T00:00:00"/>
        <d v="2024-03-17T00:00:00"/>
        <d v="2024-03-18T00:00:00"/>
        <d v="2024-03-19T00:00:00"/>
        <d v="2024-03-20T00:00:00"/>
        <d v="2024-03-21T00:00:00"/>
        <d v="2024-03-22T00:00:00"/>
        <d v="2024-03-23T00:00:00"/>
        <d v="2024-03-24T00:00:00"/>
        <d v="2024-03-25T00:00:00"/>
        <d v="2024-03-26T00:00:00"/>
        <d v="2024-03-27T00:00:00"/>
        <d v="2024-03-28T00:00:00"/>
        <d v="2024-03-29T00:00:00"/>
        <d v="2024-03-30T00:00:00"/>
        <d v="2024-03-31T00:00:00"/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08T00:00:00"/>
        <d v="2024-04-09T00:00:00"/>
        <d v="2024-04-10T00:00:00"/>
        <d v="2024-04-11T00:00:00"/>
        <d v="2024-04-12T00:00:00"/>
        <d v="2024-04-13T00:00:00"/>
        <d v="2024-04-14T00:00:00"/>
        <d v="2024-04-15T00:00:00"/>
        <d v="2024-04-16T00:00:00"/>
        <d v="2024-04-17T00:00:00"/>
        <d v="2024-04-18T00:00:00"/>
        <d v="2024-04-19T00:00:00"/>
        <d v="2024-04-20T00:00:00"/>
        <d v="2024-04-21T00:00:00"/>
        <d v="2024-04-22T00:00:00"/>
        <d v="2024-04-23T00:00:00"/>
        <d v="2024-04-24T00:00:00"/>
        <d v="2024-04-25T00:00:00"/>
        <d v="2024-04-26T00:00:00"/>
        <d v="2024-04-27T00:00:00"/>
        <d v="2024-04-28T00:00:00"/>
        <d v="2024-04-29T00:00:00"/>
        <d v="2024-04-30T00:00:00"/>
        <d v="2024-05-01T00:00:00"/>
        <d v="2024-05-02T00:00:00"/>
        <d v="2024-05-03T00:00:00"/>
        <d v="2024-05-04T00:00:00"/>
        <d v="2024-05-05T00:00:00"/>
        <d v="2024-05-06T00:00:00"/>
        <d v="2024-05-07T00:00:00"/>
        <d v="2024-05-08T00:00:00"/>
        <d v="2024-05-09T00:00:00"/>
        <d v="2024-05-10T00:00:00"/>
        <d v="2024-05-11T00:00:00"/>
        <d v="2024-05-12T00:00:00"/>
        <d v="2024-05-13T00:00:00"/>
        <d v="2024-05-14T00:00:00"/>
        <d v="2024-05-15T00:00:00"/>
        <d v="2024-05-16T00:00:00"/>
        <d v="2024-05-17T00:00:00"/>
        <d v="2024-05-18T00:00:00"/>
        <d v="2024-05-19T00:00:00"/>
        <d v="2024-05-20T00:00:00"/>
        <d v="2024-05-21T00:00:00"/>
        <d v="2024-05-22T00:00:00"/>
        <d v="2024-05-23T00:00:00"/>
        <d v="2024-05-24T00:00:00"/>
        <d v="2024-05-25T00:00:00"/>
        <d v="2024-05-26T00:00:00"/>
        <d v="2024-05-27T00:00:00"/>
        <d v="2024-05-28T00:00:00"/>
        <d v="2024-05-29T00:00:00"/>
        <d v="2024-05-30T00:00:00"/>
        <d v="2024-05-31T00:00:00"/>
        <d v="2024-06-01T00:00:00"/>
        <d v="2024-06-02T00:00:00"/>
        <d v="2024-06-03T00:00:00"/>
        <d v="2024-06-04T00:00:00"/>
        <d v="2024-06-05T00:00:00"/>
        <d v="2024-06-06T00:00:00"/>
        <d v="2024-06-07T00:00:00"/>
        <d v="2024-06-08T00:00:00"/>
        <d v="2024-06-09T00:00:00"/>
        <d v="2024-06-10T00:00:00"/>
        <d v="2024-06-11T00:00:00"/>
        <d v="2024-06-12T00:00:00"/>
        <d v="2024-06-13T00:00:00"/>
        <d v="2024-06-14T00:00:00"/>
        <d v="2024-06-15T00:00:00"/>
        <d v="2024-06-16T00:00:00"/>
        <d v="2024-06-17T00:00:00"/>
        <d v="2024-06-18T00:00:00"/>
        <d v="2024-06-19T00:00:00"/>
        <d v="2024-06-20T00:00:00"/>
        <d v="2024-06-21T00:00:00"/>
        <d v="2024-06-22T00:00:00"/>
        <d v="2024-06-23T00:00:00"/>
        <d v="2024-06-24T00:00:00"/>
        <d v="2024-06-25T00:00:00"/>
        <d v="2024-06-26T00:00:00"/>
        <d v="2024-06-27T00:00:00"/>
        <d v="2024-06-28T00:00:00"/>
        <d v="2024-06-29T00:00:00"/>
        <d v="2024-06-30T00:00:00"/>
        <d v="2024-07-01T00:00:00"/>
        <d v="2024-07-02T00:00:00"/>
        <d v="2024-07-03T00:00:00"/>
        <d v="2024-07-04T00:00:00"/>
        <d v="2024-07-05T00:00:00"/>
        <d v="2024-07-06T00:00:00"/>
        <d v="2024-07-07T00:00:00"/>
        <d v="2024-07-08T00:00:00"/>
        <d v="2024-07-09T00:00:00"/>
        <d v="2024-07-10T00:00:00"/>
        <d v="2024-07-11T00:00:00"/>
        <d v="2024-07-12T00:00:00"/>
        <d v="2024-07-13T00:00:00"/>
        <d v="2024-07-14T00:00:00"/>
        <d v="2024-07-15T00:00:00"/>
        <d v="2024-07-16T00:00:00"/>
        <d v="2024-07-17T00:00:00"/>
        <d v="2024-07-18T00:00:00"/>
        <d v="2024-07-19T00:00:00"/>
        <d v="2024-07-20T00:00:00"/>
        <d v="2024-07-21T00:00:00"/>
        <d v="2024-07-22T00:00:00"/>
        <d v="2024-07-23T00:00:00"/>
        <d v="2024-07-24T00:00:00"/>
        <d v="2024-07-25T00:00:00"/>
        <d v="2024-07-26T00:00:00"/>
        <d v="2024-07-27T00:00:00"/>
        <d v="2024-07-28T00:00:00"/>
        <d v="2024-07-29T00:00:00"/>
        <d v="2024-07-30T00:00:00"/>
        <d v="2024-07-31T00:00:00"/>
        <d v="2024-08-01T00:00:00"/>
        <d v="2024-08-02T00:00:00"/>
        <d v="2024-08-03T00:00:00"/>
        <d v="2024-08-04T00:00:00"/>
        <d v="2024-08-05T00:00:00"/>
        <d v="2024-08-06T00:00:00"/>
        <d v="2024-08-07T00:00:00"/>
        <d v="2024-08-08T00:00:00"/>
        <d v="2024-08-09T00:00:00"/>
        <d v="2024-08-10T00:00:00"/>
        <d v="2024-08-11T00:00:00"/>
        <d v="2024-08-27T00:00:00"/>
        <d v="2024-08-28T00:00:00"/>
        <d v="2024-08-29T00:00:00"/>
        <d v="2024-08-30T00:00:00"/>
        <d v="2024-08-31T00:00:00"/>
        <d v="2024-09-01T00:00:00"/>
        <d v="2024-09-02T00:00:00"/>
        <d v="2024-09-03T00:00:00"/>
        <d v="2024-09-04T00:00:00"/>
        <d v="2024-09-05T00:00:00"/>
        <d v="2024-09-06T00:00:00"/>
        <d v="2024-09-07T00:00:00"/>
        <d v="2024-09-08T00:00:00"/>
        <d v="2024-09-09T00:00:00"/>
        <d v="2024-09-10T00:00:00"/>
        <d v="2024-09-11T00:00:00"/>
        <d v="2024-09-12T00:00:00"/>
        <d v="2024-09-13T00:00:00"/>
        <d v="2024-09-14T00:00:00"/>
        <d v="2024-09-15T00:00:00"/>
        <d v="2024-09-16T00:00:00"/>
        <d v="2024-09-17T00:00:00"/>
        <d v="2024-09-18T00:00:00"/>
        <d v="2024-09-19T00:00:00"/>
        <d v="2024-09-20T00:00:00"/>
        <d v="2024-09-21T00:00:00"/>
        <d v="2024-09-22T00:00:00"/>
        <d v="2024-09-23T00:00:00"/>
        <d v="2024-09-24T00:00:00"/>
        <d v="2024-09-25T00:00:00"/>
        <d v="2024-09-26T00:00:00"/>
        <d v="2024-09-27T00:00:00"/>
        <d v="2024-09-28T00:00:00"/>
        <d v="2024-09-29T00:00:00"/>
        <d v="2024-09-30T00:00:00"/>
        <d v="2024-10-01T00:00:00"/>
        <d v="2024-10-02T00:00:00"/>
        <d v="2024-10-03T00:00:00"/>
        <d v="2024-10-04T00:00:00"/>
        <d v="2024-10-05T00:00:00"/>
        <d v="2024-10-06T00:00:00"/>
        <d v="2024-10-07T00:00:00"/>
        <d v="2024-10-08T00:00:00"/>
        <d v="2024-10-09T00:00:00"/>
        <d v="2024-10-10T00:00:00"/>
        <d v="2024-10-11T00:00:00"/>
        <d v="2024-10-12T00:00:00"/>
        <d v="2024-10-13T00:00:00"/>
        <d v="2024-10-14T00:00:00"/>
        <d v="2024-10-15T00:00:00"/>
        <d v="2024-10-16T00:00:00"/>
        <d v="2024-10-17T00:00:00"/>
        <d v="2024-10-18T00:00:00"/>
        <d v="2024-10-19T00:00:00"/>
        <d v="2024-10-20T00:00:00"/>
        <d v="2024-10-21T00:00:00"/>
        <d v="2024-10-22T00:00:00"/>
        <d v="2024-10-23T00:00:00"/>
        <d v="2024-10-24T00:00:00"/>
        <d v="2024-10-25T00:00:00"/>
        <d v="2024-10-26T00:00:00"/>
        <d v="2024-10-27T00:00:00"/>
        <d v="2024-10-28T00:00:00"/>
        <d v="2024-10-29T00:00:00"/>
        <d v="2024-10-30T00:00:00"/>
        <d v="2024-10-31T00:00:00"/>
        <d v="2024-11-01T00:00:00"/>
        <d v="2024-11-02T00:00:00"/>
        <d v="2024-11-03T00:00:00"/>
        <d v="2024-11-04T00:00:00"/>
        <d v="2024-11-05T00:00:00"/>
        <d v="2024-11-06T00:00:00"/>
        <d v="2024-11-07T00:00:00"/>
        <d v="2024-11-08T00:00:00"/>
        <d v="2024-11-09T00:00:00"/>
        <d v="2024-11-10T00:00:00"/>
        <d v="2024-11-11T00:00:00"/>
        <d v="2024-11-12T00:00:00"/>
        <d v="2024-11-13T00:00:00"/>
        <d v="2024-11-14T00:00:00"/>
        <d v="2024-11-15T00:00:00"/>
        <d v="2024-11-16T00:00:00"/>
        <d v="2024-11-17T00:00:00"/>
        <d v="2024-11-18T00:00:00"/>
        <d v="2024-11-19T00:00:00"/>
        <d v="2024-11-20T00:00:00"/>
        <d v="2024-11-21T00:00:00"/>
        <d v="2024-11-22T00:00:00"/>
        <d v="2024-11-23T00:00:00"/>
        <d v="2024-11-24T00:00:00"/>
        <d v="2024-11-25T00:00:00"/>
        <d v="2024-11-26T00:00:00"/>
        <d v="2024-11-27T00:00:00"/>
        <d v="2024-11-28T00:00:00"/>
        <d v="2024-11-29T00:00:00"/>
        <d v="2024-11-30T00:00:00"/>
        <d v="2024-12-01T00:00:00"/>
        <d v="2024-12-02T00:00:00"/>
        <d v="2024-12-03T00:00:00"/>
        <d v="2024-12-04T00:00:00"/>
        <d v="2024-12-05T00:00:00"/>
        <d v="2024-12-06T00:00:00"/>
        <d v="2024-12-07T00:00:00"/>
        <d v="2024-12-08T00:00:00"/>
        <d v="2024-12-09T00:00:00"/>
        <d v="2024-12-10T00:00:00"/>
        <d v="2024-12-11T00:00:00"/>
        <d v="2024-12-12T00:00:00"/>
        <d v="2024-12-13T00:00:00"/>
        <d v="2024-12-14T00:00:00"/>
        <d v="2024-12-15T00:00:00"/>
        <d v="2024-12-16T00:00:00"/>
        <d v="2024-12-17T00:00:00"/>
        <d v="2024-12-18T00:00:00"/>
        <d v="2024-12-19T00:00:00"/>
        <d v="2024-12-20T00:00:00"/>
        <d v="2024-12-21T00:00:00"/>
        <d v="2024-12-22T00:00:00"/>
        <d v="2024-12-23T00:00:00"/>
        <d v="2024-12-24T00:00:00"/>
        <d v="2024-12-25T00:00:00"/>
        <d v="2024-12-26T00:00:00"/>
        <d v="2024-12-27T00:00:00"/>
        <d v="2024-12-28T00:00:00"/>
        <d v="2024-12-29T00:00:00"/>
        <d v="2024-12-30T00:00:00"/>
        <d v="2024-12-31T00:00:00"/>
        <d v="2025-01-01T00:00:00"/>
        <d v="2025-01-02T00:00:00"/>
        <d v="2025-01-03T00:00:00"/>
        <d v="2025-01-04T00:00:00"/>
        <d v="2025-01-05T00:00:00"/>
        <d v="2025-01-06T00:00:00"/>
        <d v="2025-01-07T00:00:00"/>
        <d v="2025-01-08T00:00:00"/>
        <d v="2025-01-09T00:00:00"/>
        <d v="2025-01-10T00:00:00"/>
        <d v="2025-01-11T00:00:00"/>
        <d v="2025-01-12T00:00:00"/>
        <d v="2025-01-13T00:00:00"/>
        <d v="2025-01-14T00:00:00"/>
        <d v="2025-01-15T00:00:00"/>
        <d v="2025-01-16T00:00:00"/>
        <d v="2025-01-17T00:00:00"/>
        <d v="2025-01-18T00:00:00"/>
        <d v="2025-01-19T00:00:00"/>
        <d v="2025-01-20T00:00:00"/>
        <d v="2025-01-21T00:00:00"/>
        <d v="2025-01-22T00:00:00"/>
        <d v="2025-01-23T00:00:00"/>
        <d v="2025-01-24T00:00:00"/>
        <d v="2025-01-25T00:00:00"/>
        <d v="2025-01-26T00:00:00"/>
        <d v="2025-01-27T00:00:00"/>
        <d v="2025-01-28T00:00:00"/>
        <d v="2025-01-29T00:00:00"/>
        <d v="2025-01-30T00:00:00"/>
        <d v="2025-01-31T00:00:00"/>
        <d v="2025-02-01T00:00:00"/>
        <d v="2025-02-02T00:00:00"/>
        <d v="2025-02-03T00:00:00"/>
        <d v="2025-02-04T00:00:00"/>
        <d v="2025-02-05T00:00:00"/>
        <d v="2025-02-06T00:00:00"/>
        <d v="2025-02-07T00:00:00"/>
        <d v="2025-02-08T00:00:00"/>
        <d v="2025-02-09T00:00:00"/>
        <d v="2025-02-10T00:00:00"/>
        <d v="2025-02-11T00:00:00"/>
        <d v="2025-02-12T00:00:00"/>
        <d v="2025-02-13T00:00:00"/>
        <d v="2025-02-14T00:00:00"/>
        <d v="2025-02-15T00:00:00"/>
        <d v="2025-02-16T00:00:00"/>
        <d v="2025-02-17T00:00:00"/>
        <d v="2025-02-18T00:00:00"/>
        <d v="2025-02-19T00:00:00"/>
        <d v="2025-02-20T00:00:00"/>
        <d v="2025-02-21T00:00:00"/>
        <d v="2025-02-22T00:00:00"/>
        <d v="2025-02-23T00:00:00"/>
        <d v="2025-02-24T00:00:00"/>
        <d v="2025-02-25T00:00:00"/>
        <d v="2025-02-26T00:00:00"/>
        <d v="2025-02-27T00:00:00"/>
        <d v="2025-02-28T00:00:00"/>
        <d v="2025-03-01T00:00:00"/>
        <d v="2025-03-02T00:00:00"/>
        <d v="2025-03-03T00:00:00"/>
        <d v="2025-03-04T00:00:00"/>
        <d v="2025-03-05T00:00:00"/>
        <d v="2025-03-06T00:00:00"/>
        <d v="2025-03-07T00:00:00"/>
        <d v="2025-03-08T00:00:00"/>
        <d v="2025-03-09T00:00:00"/>
        <d v="2025-03-10T00:00:00"/>
        <d v="2025-03-11T00:00:00"/>
        <d v="2025-03-12T00:00:00"/>
        <d v="2025-03-13T00:00:00"/>
        <d v="2025-03-14T00:00:00"/>
        <d v="2025-03-15T00:00:00"/>
        <d v="2025-03-16T00:00:00"/>
        <d v="2025-03-17T00:00:00"/>
        <d v="2025-03-18T00:00:00"/>
        <d v="2025-03-19T00:00:00"/>
        <d v="2025-03-20T00:00:00"/>
        <d v="2025-03-21T00:00:00"/>
        <d v="2025-03-22T00:00:00"/>
        <d v="2025-03-23T00:00:00"/>
        <d v="2025-03-24T00:00:00"/>
        <d v="2025-03-25T00:00:00"/>
        <d v="2025-03-26T00:00:00"/>
        <d v="2025-03-27T00:00:00"/>
        <d v="2025-03-28T00:00:00"/>
        <d v="2025-03-29T00:00:00"/>
        <d v="2025-03-30T00:00:00"/>
        <d v="2025-03-31T00:00:00"/>
        <d v="2025-04-01T00:00:00"/>
        <d v="2025-04-02T00:00:00"/>
        <d v="2025-04-03T00:00:00"/>
        <d v="2025-04-04T00:00:00"/>
        <d v="2025-04-05T00:00:00"/>
        <d v="2025-04-06T00:00:00"/>
        <d v="2025-04-07T00:00:00"/>
        <d v="2025-04-08T00:00:00"/>
        <d v="2025-04-09T00:00:00"/>
        <d v="2025-04-10T00:00:00"/>
        <d v="2025-04-11T00:00:00"/>
        <d v="2025-04-12T00:00:00"/>
        <d v="2025-04-13T00:00:00"/>
        <d v="2025-04-14T00:00:00"/>
        <d v="2025-04-15T00:00:00"/>
        <d v="2025-04-16T00:00:00"/>
        <d v="2025-04-17T00:00:00"/>
        <d v="2025-04-18T00:00:00"/>
        <d v="2025-04-19T00:00:00"/>
        <d v="2025-04-20T00:00:00"/>
        <d v="2025-04-21T00:00:00"/>
        <d v="2025-04-22T00:00:00"/>
        <d v="2025-04-23T00:00:00"/>
        <d v="2025-04-24T00:00:00"/>
        <d v="2025-04-25T00:00:00"/>
        <d v="2025-04-26T00:00:00"/>
        <d v="2025-04-27T00:00:00"/>
        <d v="2025-04-28T00:00:00"/>
        <d v="2025-04-29T00:00:00"/>
        <d v="2025-04-30T00:00:00"/>
        <d v="2025-05-01T00:00:00"/>
        <d v="2025-05-02T00:00:00"/>
        <d v="2025-05-03T00:00:00"/>
        <d v="2025-05-04T00:00:00"/>
        <d v="2025-05-05T00:00:00"/>
        <d v="2025-05-06T00:00:00"/>
        <d v="2025-05-07T00:00:00"/>
        <d v="2025-05-08T00:00:00"/>
        <d v="2025-05-09T00:00:00"/>
        <d v="2025-05-10T00:00:00"/>
        <d v="2025-05-11T00:00:00"/>
        <d v="2025-05-12T00:00:00"/>
        <d v="2025-05-13T00:00:00"/>
        <d v="2025-05-14T00:00:00"/>
        <d v="2025-05-15T00:00:00"/>
        <d v="2025-05-16T00:00:00"/>
        <d v="2025-05-17T00:00:00"/>
        <d v="2025-05-18T00:00:00"/>
        <d v="2025-05-19T00:00:00"/>
        <d v="2025-05-20T00:00:00"/>
        <d v="2025-05-21T00:00:00"/>
        <d v="2025-05-22T00:00:00"/>
        <d v="2025-05-23T00:00:00"/>
        <d v="2025-05-24T00:00:00"/>
        <d v="2025-05-25T00:00:00"/>
        <d v="2025-05-26T00:00:00"/>
        <d v="2025-05-27T00:00:00"/>
        <d v="2025-05-28T00:00:00"/>
        <d v="2025-05-29T00:00:00"/>
        <d v="2025-05-30T00:00:00"/>
        <d v="2025-05-31T00:00:00"/>
        <d v="2025-06-01T00:00:00"/>
        <d v="2025-06-02T00:00:00"/>
        <d v="2025-06-03T00:00:00"/>
        <d v="2025-06-04T00:00:00"/>
        <d v="2025-06-05T00:00:00"/>
        <d v="2025-06-06T00:00:00"/>
        <d v="2025-06-07T00:00:00"/>
        <d v="2025-06-08T00:00:00"/>
        <d v="2025-06-09T00:00:00"/>
        <d v="2025-06-10T00:00:00"/>
        <d v="2025-06-11T00:00:00"/>
        <d v="2025-06-12T00:00:00"/>
        <d v="2025-06-13T00:00:00"/>
        <d v="2025-06-14T00:00:00"/>
        <d v="2025-06-15T00:00:00"/>
        <d v="2025-06-16T00:00:00"/>
        <d v="2025-06-17T00:00:00"/>
        <d v="2025-06-18T00:00:00"/>
        <d v="2025-06-19T00:00:00"/>
        <d v="2025-06-20T00:00:00"/>
        <d v="2025-06-21T00:00:00"/>
        <d v="2025-06-22T00:00:00"/>
        <d v="2025-06-23T00:00:00"/>
        <d v="2025-06-24T00:00:00"/>
        <d v="2025-06-25T00:00:00"/>
        <d v="2025-06-26T00:00:00"/>
        <d v="2025-06-27T00:00:00"/>
        <d v="2025-06-28T00:00:00"/>
        <d v="2025-06-29T00:00:00"/>
        <d v="2025-06-30T00:00:00"/>
        <d v="2025-07-01T00:00:00"/>
        <d v="2025-07-02T00:00:00"/>
        <d v="2025-07-03T00:00:00"/>
        <d v="2025-07-04T00:00:00"/>
        <d v="2025-07-05T00:00:00"/>
        <d v="2025-07-06T00:00:00"/>
        <d v="2025-07-07T00:00:00"/>
        <d v="2025-07-08T00:00:00"/>
        <d v="2025-07-09T00:00:00"/>
        <d v="2025-07-10T00:00:00"/>
        <d v="2025-07-11T00:00:00"/>
        <d v="2025-07-12T00:00:00"/>
        <d v="2025-07-13T00:00:00"/>
        <d v="2025-07-14T00:00:00"/>
        <d v="2025-07-15T00:00:00"/>
        <d v="2025-07-16T00:00:00"/>
        <d v="2025-07-17T00:00:00"/>
        <d v="2025-07-18T00:00:00"/>
        <d v="2025-07-19T00:00:00"/>
        <d v="2025-07-20T00:00:00"/>
        <d v="2025-07-21T00:00:00"/>
        <d v="2025-07-22T00:00:00"/>
        <d v="2025-07-23T00:00:00"/>
        <d v="2025-07-24T00:00:00"/>
        <d v="2025-07-25T00:00:00"/>
        <d v="2025-07-26T00:00:00"/>
        <d v="2025-07-27T00:00:00"/>
        <d v="2025-07-28T00:00:00"/>
        <d v="2025-07-29T00:00:00"/>
        <d v="2025-07-30T00:00:00"/>
        <d v="2025-07-31T00:00:00"/>
        <d v="2025-08-01T00:00:00"/>
        <d v="2025-08-02T00:00:00"/>
        <d v="2025-08-03T00:00:00"/>
        <d v="2025-08-04T00:00:00"/>
        <d v="2025-08-05T00:00:00"/>
        <d v="2025-08-06T00:00:00"/>
        <d v="2025-08-07T00:00:00"/>
        <d v="2025-08-08T00:00:00"/>
        <d v="2025-08-09T00:00:00"/>
        <d v="2025-08-10T00:00:00"/>
        <d v="2025-08-11T00:00:00"/>
        <d v="2025-08-12T00:00:00"/>
        <d v="2025-08-13T00:00:00"/>
        <d v="2025-08-14T00:00:00"/>
        <d v="2025-08-15T00:00:00"/>
        <d v="2025-08-16T00:00:00"/>
        <d v="2025-08-17T00:00:00"/>
        <d v="2025-08-18T00:00:00"/>
        <d v="2025-08-19T00:00:00"/>
        <d v="2025-08-20T00:00:00"/>
        <d v="2025-08-21T00:00:00"/>
        <d v="2025-08-22T00:00:00"/>
        <d v="2025-08-23T00:00:00"/>
        <d v="2025-08-24T00:00:00"/>
        <d v="2025-08-25T00:00:00"/>
        <d v="2025-08-26T00:00:00"/>
        <d v="2025-08-27T00:00:00"/>
        <d v="2025-08-28T00:00:00"/>
        <d v="2025-08-29T00:00:00"/>
        <d v="2025-08-30T00:00:00"/>
        <d v="2025-08-31T00:00:00"/>
        <d v="2025-09-01T00:00:00"/>
        <d v="2025-09-02T00:00:00"/>
        <d v="2025-09-03T00:00:00"/>
        <d v="2025-09-04T00:00:00"/>
        <d v="2025-09-05T00:00:00"/>
        <d v="2025-09-06T00:00:00"/>
        <d v="2025-09-07T00:00:00"/>
        <d v="2025-09-08T00:00:00"/>
        <d v="2025-09-09T00:00:00"/>
        <d v="2025-09-10T00:00:00"/>
        <d v="2025-09-11T00:00:00"/>
        <d v="2025-09-12T00:00:00"/>
        <d v="2025-09-13T00:00:00"/>
        <d v="2025-09-14T00:00:00"/>
        <d v="2025-09-15T00:00:00"/>
        <d v="2025-09-16T00:00:00"/>
        <d v="2025-09-17T00:00:00"/>
        <d v="2025-09-18T00:00:00"/>
        <d v="2025-09-19T00:00:00"/>
        <d v="2025-09-20T00:00:00"/>
        <d v="2025-09-21T00:00:00"/>
        <d v="2025-09-22T00:00:00"/>
        <d v="2025-09-23T00:00:00"/>
        <d v="2025-09-24T00:00:00"/>
        <d v="2025-09-25T00:00:00"/>
        <d v="2025-09-26T00:00:00"/>
        <d v="2025-09-27T00:00:00"/>
        <d v="2025-09-28T00:00:00"/>
        <d v="2025-09-29T00:00:00"/>
        <d v="2025-09-30T00:00:00"/>
        <d v="2025-10-01T00:00:00"/>
        <d v="2025-10-02T00:00:00"/>
        <d v="2025-10-03T00:00:00"/>
        <d v="2025-10-04T00:00:00"/>
        <d v="2025-10-05T00:00:00"/>
        <d v="2025-10-06T00:00:00"/>
        <d v="2025-10-07T00:00:00"/>
        <d v="2025-10-08T00:00:00"/>
        <d v="2025-10-09T00:00:00"/>
        <d v="2025-10-10T00:00:00"/>
        <d v="2025-10-11T00:00:00"/>
        <d v="2025-10-12T00:00:00"/>
        <d v="2025-10-13T00:00:00"/>
        <d v="2025-10-14T00:00:00"/>
        <d v="2025-10-15T00:00:00"/>
        <d v="2025-10-16T00:00:00"/>
        <d v="2025-10-17T00:00:00"/>
        <d v="2025-10-18T00:00:00"/>
        <d v="2025-10-19T00:00:00"/>
        <d v="2025-10-20T00:00:00"/>
        <d v="2025-10-21T00:00:00"/>
        <d v="2025-10-22T00:00:00"/>
        <d v="2025-10-23T00:00:00"/>
        <d v="2025-10-24T00:00:00"/>
        <d v="2025-10-25T00:00:00"/>
        <d v="2025-10-26T00:00:00"/>
        <d v="2025-10-27T00:00:00"/>
        <d v="2025-10-28T00:00:00"/>
        <d v="2025-10-29T00:00:00"/>
        <d v="2025-10-30T00:00:00"/>
        <d v="2025-10-31T00:00:00"/>
        <d v="2025-11-01T00:00:00"/>
        <d v="2025-11-02T00:00:00"/>
        <d v="2025-11-03T00:00:00"/>
        <d v="2025-11-04T00:00:00"/>
        <d v="2025-11-05T00:00:00"/>
        <d v="2025-11-06T00:00:00"/>
        <d v="2025-11-07T00:00:00"/>
        <d v="2025-11-08T00:00:00"/>
        <d v="2025-11-09T00:00:00"/>
        <d v="2025-11-10T00:00:00"/>
        <d v="2025-11-11T00:00:00"/>
        <d v="2025-11-12T00:00:00"/>
        <d v="2025-11-13T00:00:00"/>
        <d v="2025-11-14T00:00:00"/>
        <d v="2025-11-15T00:00:00"/>
        <d v="2025-11-16T00:00:00"/>
        <d v="2025-11-17T00:00:00"/>
        <d v="2025-11-18T00:00:00"/>
        <d v="2025-11-19T00:00:00"/>
        <d v="2025-11-20T00:00:00"/>
        <d v="2025-11-21T00:00:00"/>
        <d v="2025-11-22T00:00:00"/>
        <d v="2025-11-23T00:00:00"/>
        <d v="2025-11-24T00:00:00"/>
        <d v="2025-11-25T00:00:00"/>
        <d v="2025-11-26T00:00:00"/>
        <d v="2025-11-27T00:00:00"/>
        <d v="2025-11-28T00:00:00"/>
        <d v="2025-11-29T00:00:00"/>
        <d v="2025-11-30T00:00:00"/>
        <d v="2025-12-01T00:00:00"/>
        <d v="2025-12-02T00:00:00"/>
        <d v="2025-12-03T00:00:00"/>
        <d v="2025-12-04T00:00:00"/>
        <d v="2025-12-05T00:00:00"/>
        <d v="2025-12-06T00:00:00"/>
        <d v="2025-12-07T00:00:00"/>
        <d v="2025-12-08T00:00:00"/>
        <d v="2025-12-09T00:00:00"/>
        <d v="2025-12-10T00:00:00"/>
        <d v="2025-12-11T00:00:00"/>
        <d v="2025-12-12T00:00:00"/>
        <d v="2025-12-13T00:00:00"/>
        <d v="2025-12-14T00:00:00"/>
        <d v="2025-12-15T00:00:00"/>
        <d v="2025-12-16T00:00:00"/>
        <d v="2025-12-17T00:00:00"/>
        <d v="2025-12-18T00:00:00"/>
        <d v="2025-12-19T00:00:00"/>
        <d v="2025-12-20T00:00:00"/>
        <d v="2025-12-21T00:00:00"/>
        <d v="2025-12-22T00:00:00"/>
        <d v="2025-12-23T00:00:00"/>
        <d v="2025-12-24T00:00:00"/>
        <d v="2025-12-25T00:00:00"/>
        <d v="2025-12-26T00:00:00"/>
        <d v="2025-12-27T00:00:00"/>
        <d v="2025-12-28T00:00:00"/>
        <d v="2025-12-29T00:00:00"/>
        <d v="2025-12-30T00:00:00"/>
        <d v="2025-12-31T00:00:00"/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</sharedItems>
      <fieldGroup par="5"/>
    </cacheField>
    <cacheField name="Price" numFmtId="0">
      <sharedItems containsSemiMixedTypes="0" containsString="0" containsNumber="1" minValue="0.05" maxValue="124505.88"/>
    </cacheField>
    <cacheField name="SMA (200)" numFmtId="0">
      <sharedItems count="5168">
        <s v=""/>
        <s v="0.17754999999999987"/>
        <s v="0.18094999999999983"/>
        <s v="0.1841499999999999"/>
        <s v="0.1876999999999999"/>
        <s v="0.19159999999999988"/>
        <s v="0.19559999999999989"/>
        <s v="0.1995999999999999"/>
        <s v="0.20379999999999987"/>
        <s v="0.20834999999999992"/>
        <s v="0.21289999999999992"/>
        <s v="0.21759999999999993"/>
        <s v="0.22259999999999994"/>
        <s v="0.22754999999999992"/>
        <s v="0.23249999999999993"/>
        <s v="0.23739999999999994"/>
        <s v="0.24229999999999993"/>
        <s v="0.24719999999999995"/>
        <s v="0.25134999999999996"/>
        <s v="0.25559999999999994"/>
        <s v="0.25954999999999995"/>
        <s v="0.26344999999999996"/>
        <s v="0.26755"/>
        <s v="0.27175"/>
        <s v="0.2762"/>
        <s v="0.28065"/>
        <s v="0.285"/>
        <s v="0.2893"/>
        <s v="0.29335"/>
        <s v="0.29775"/>
        <s v="0.30200000000000005"/>
        <s v="0.30625"/>
        <s v="0.3105"/>
        <s v="0.31455000000000005"/>
        <s v="0.31845000000000007"/>
        <s v="0.32255"/>
        <s v="0.32655000000000006"/>
        <s v="0.33045"/>
        <s v="0.33460000000000006"/>
        <s v="0.33870000000000006"/>
        <s v="0.3428500000000001"/>
        <s v="0.3470000000000001"/>
        <s v="0.35110000000000013"/>
        <s v="0.3552000000000001"/>
        <s v="0.3591500000000001"/>
        <s v="0.3630500000000001"/>
        <s v="0.36660000000000004"/>
        <s v="0.3701000000000001"/>
        <s v="0.3736500000000001"/>
        <s v="0.3771000000000001"/>
        <s v="0.3807000000000001"/>
        <s v="0.38455000000000006"/>
        <s v="0.3886500000000001"/>
        <s v="0.39275000000000004"/>
        <s v="0.39680000000000004"/>
        <s v="0.40065000000000006"/>
        <s v="0.40440000000000004"/>
        <s v="0.40805000000000013"/>
        <s v="0.4117000000000002"/>
        <s v="0.41535000000000016"/>
        <s v="0.41895000000000016"/>
        <s v="0.4226000000000002"/>
        <s v="0.4262000000000002"/>
        <s v="0.4293500000000002"/>
        <s v="0.43240000000000023"/>
        <s v="0.4357000000000002"/>
        <s v="0.4391500000000002"/>
        <s v="0.4426500000000002"/>
        <s v="0.44605000000000017"/>
        <s v="0.4494500000000001"/>
        <s v="0.4530000000000001"/>
        <s v="0.45695000000000013"/>
        <s v="0.46130000000000015"/>
        <s v="0.46575000000000016"/>
        <s v="0.47045000000000015"/>
        <s v="0.47535000000000016"/>
        <s v="0.48045000000000015"/>
        <s v="0.48590000000000017"/>
        <s v="0.49150000000000027"/>
        <s v="0.4970000000000002"/>
        <s v="0.5026000000000003"/>
        <s v="0.5087500000000003"/>
        <s v="0.5162000000000002"/>
        <s v="0.5242500000000003"/>
        <s v="0.5318500000000003"/>
        <s v="0.5398000000000003"/>
        <s v="0.5488000000000003"/>
        <s v="0.5584500000000002"/>
        <s v="0.5709000000000003"/>
        <s v="0.5869000000000003"/>
        <s v="0.6021000000000004"/>
        <s v="0.6178000000000003"/>
        <s v="0.6339000000000004"/>
        <s v="0.6506000000000003"/>
        <s v="0.6671500000000004"/>
        <s v="0.6840500000000003"/>
        <s v="0.7016000000000004"/>
        <s v="0.7199500000000004"/>
        <s v="0.7384500000000004"/>
        <s v="0.7616000000000005"/>
        <s v="0.7878000000000004"/>
        <s v="0.8164000000000006"/>
        <s v="0.8530500000000005"/>
        <s v="0.8915500000000006"/>
        <s v="0.9243500000000006"/>
        <s v="0.9622500000000006"/>
        <s v="0.9989000000000007"/>
        <s v="1.0336500000000006"/>
        <s v="1.0675000000000006"/>
        <s v="1.0979500000000006"/>
        <s v="1.1268500000000006"/>
        <s v="1.1582500000000007"/>
        <s v="1.1927000000000008"/>
        <s v="1.2276500000000006"/>
        <s v="1.2661000000000007"/>
        <s v="1.3070500000000005"/>
        <s v="1.3488000000000004"/>
        <s v="1.3897000000000006"/>
        <s v="1.4302000000000006"/>
        <s v="1.4727000000000006"/>
        <s v="1.5158000000000007"/>
        <s v="1.5604000000000007"/>
        <s v="1.6095500000000007"/>
        <s v="1.6736000000000006"/>
        <s v="1.7544000000000008"/>
        <s v="1.8397000000000008"/>
        <s v="1.9306500000000006"/>
        <s v="2.0288000000000004"/>
        <s v="2.1636500000000005"/>
        <s v="2.3101500000000006"/>
        <s v="2.4321000000000006"/>
        <s v="2.5187500000000007"/>
        <s v="2.5984000000000007"/>
        <s v="2.6975500000000006"/>
        <s v="2.7924000000000007"/>
        <s v="2.8894000000000006"/>
        <s v="2.982300000000001"/>
        <s v="3.0586000000000007"/>
        <s v="3.1377500000000005"/>
        <s v="3.22555"/>
        <s v="3.3132"/>
        <s v="3.4008"/>
        <s v="3.4884999999999997"/>
        <s v="3.5763"/>
        <s v="3.66415"/>
        <s v="3.7518999999999996"/>
        <s v="3.8287"/>
        <s v="3.9126999999999996"/>
        <s v="3.9963999999999995"/>
        <s v="4.0797"/>
        <s v="4.161199999999999"/>
        <s v="4.239599999999999"/>
        <s v="4.316099999999999"/>
        <s v="4.392299999999999"/>
        <s v="4.463449999999999"/>
        <s v="4.526199999999999"/>
        <s v="4.5989499999999985"/>
        <s v="4.673549999999999"/>
        <s v="4.743999999999999"/>
        <s v="4.814699999999998"/>
        <s v="4.888849999999999"/>
        <s v="4.959449999999999"/>
        <s v="5.028949999999998"/>
        <s v="5.097849999999998"/>
        <s v="5.166249999999999"/>
        <s v="5.234449999999998"/>
        <s v="5.301199999999998"/>
        <s v="5.366449999999998"/>
        <s v="5.430099999999998"/>
        <s v="5.498849999999997"/>
        <s v="5.5657999999999985"/>
        <s v="5.632599999999997"/>
        <s v="5.699349999999998"/>
        <s v="5.766099999999999"/>
        <s v="5.833899999999999"/>
        <s v="5.9033999999999995"/>
        <s v="5.971399999999999"/>
        <s v="6.039649999999999"/>
        <s v="6.106099999999999"/>
        <s v="6.17205"/>
        <s v="6.238099999999998"/>
        <s v="6.3039999999999985"/>
        <s v="6.368049999999998"/>
        <s v="6.42805"/>
        <s v="6.478349999999999"/>
        <s v="6.529299999999999"/>
        <s v="6.578899999999999"/>
        <s v="6.616399999999999"/>
        <s v="6.653449999999999"/>
        <s v="6.690399999999999"/>
        <s v="6.736999999999999"/>
        <s v="6.784849999999999"/>
        <s v="6.829999999999999"/>
        <s v="6.874549999999998"/>
        <s v="6.921449999999998"/>
        <s v="6.972449999999998"/>
        <s v="7.026749999999997"/>
        <s v="7.079849999999997"/>
        <s v="7.132049999999998"/>
        <s v="7.184249999999999"/>
        <s v="7.238699999999999"/>
        <s v="7.292449999999999"/>
        <s v="7.345699999999999"/>
        <s v="7.397299999999999"/>
        <s v="7.448449999999999"/>
        <s v="7.498849999999999"/>
        <s v="7.544549999999999"/>
        <s v="7.583499999999999"/>
        <s v="7.62215"/>
        <s v="7.6622"/>
        <s v="7.702050000000001"/>
        <s v="7.7410000000000005"/>
        <s v="7.77745"/>
        <s v="7.813299999999999"/>
        <s v="7.8502"/>
        <s v="7.8876"/>
        <s v="7.92325"/>
        <s v="7.95615"/>
        <s v="7.9853499999999995"/>
        <s v="8.015949999999998"/>
        <s v="8.0457"/>
        <s v="8.06805"/>
        <s v="8.088799999999999"/>
        <s v="8.1146"/>
        <s v="8.140049999999999"/>
        <s v="8.1642"/>
        <s v="8.187249999999999"/>
        <s v="8.20745"/>
        <s v="8.2271"/>
        <s v="8.246199999999998"/>
        <s v="8.267149999999997"/>
        <s v="8.288849999999998"/>
        <s v="8.314799999999998"/>
        <s v="8.338499999999996"/>
        <s v="8.361699999999997"/>
        <s v="8.385199999999996"/>
        <s v="8.407899999999998"/>
        <s v="8.430249999999996"/>
        <s v="8.450549999999998"/>
        <s v="8.470299999999996"/>
        <s v="8.489499999999998"/>
        <s v="8.508499999999996"/>
        <s v="8.529099999999998"/>
        <s v="8.549949999999997"/>
        <s v="8.570599999999997"/>
        <s v="8.591099999999997"/>
        <s v="8.611749999999999"/>
        <s v="8.632249999999997"/>
        <s v="8.651799999999998"/>
        <s v="8.669499999999998"/>
        <s v="8.685749999999997"/>
        <s v="8.702549999999997"/>
        <s v="8.718649999999998"/>
        <s v="8.733999999999998"/>
        <s v="8.749999999999998"/>
        <s v="8.766249999999996"/>
        <s v="8.782199999999996"/>
        <s v="8.797699999999997"/>
        <s v="8.811949999999998"/>
        <s v="8.822249999999999"/>
        <s v="8.831449999999997"/>
        <s v="8.838899999999997"/>
        <s v="8.846549999999997"/>
        <s v="8.855799999999995"/>
        <s v="8.867499999999996"/>
        <s v="8.879299999999995"/>
        <s v="8.889599999999996"/>
        <s v="8.899499999999996"/>
        <s v="8.909549999999996"/>
        <s v="8.920449999999995"/>
        <s v="8.932149999999996"/>
        <s v="8.945599999999995"/>
        <s v="8.957849999999997"/>
        <s v="8.969049999999996"/>
        <s v="8.979999999999997"/>
        <s v="8.990949999999996"/>
        <s v="9.001599999999996"/>
        <s v="9.011499999999998"/>
        <s v="9.020649999999996"/>
        <s v="9.029649999999997"/>
        <s v="9.038749999999999"/>
        <s v="9.047749999999997"/>
        <s v="9.054999999999996"/>
        <s v="9.060999999999996"/>
        <s v="9.067949999999996"/>
        <s v="9.074899999999996"/>
        <s v="9.080449999999995"/>
        <s v="9.082849999999997"/>
        <s v="9.081399999999995"/>
        <s v="9.077249999999996"/>
        <s v="9.072699999999996"/>
        <s v="9.067199999999996"/>
        <s v="9.061449999999997"/>
        <s v="9.055649999999996"/>
        <s v="9.049749999999996"/>
        <s v="9.043899999999997"/>
        <s v="9.037449999999996"/>
        <s v="9.030699999999996"/>
        <s v="9.024049999999995"/>
        <s v="9.012749999999997"/>
        <s v="8.998299999999997"/>
        <s v="8.981699999999996"/>
        <s v="8.958249999999998"/>
        <s v="8.933499999999997"/>
        <s v="8.915049999999997"/>
        <s v="8.891699999999997"/>
        <s v="8.868749999999995"/>
        <s v="8.846799999999996"/>
        <s v="8.826349999999996"/>
        <s v="8.809849999999997"/>
        <s v="8.794999999999996"/>
        <s v="8.777399999999997"/>
        <s v="8.756849999999996"/>
        <s v="8.735899999999997"/>
        <s v="8.711999999999996"/>
        <s v="8.685149999999997"/>
        <s v="8.657849999999996"/>
        <s v="8.631199999999996"/>
        <s v="8.605549999999996"/>
        <s v="8.577849999999996"/>
        <s v="8.549399999999997"/>
        <s v="8.519349999999998"/>
        <s v="8.485849999999997"/>
        <s v="8.440299999999999"/>
        <s v="8.377899999999999"/>
        <s v="8.310249999999998"/>
        <s v="8.237449999999999"/>
        <s v="8.15755"/>
        <s v="8.042"/>
        <s v="7.9143"/>
        <s v="7.81105"/>
        <s v="7.7437000000000005"/>
        <s v="7.68375"/>
        <s v="7.60415"/>
        <s v="7.530899999999999"/>
        <s v="7.457999999999998"/>
        <s v="7.389749999999998"/>
        <s v="7.336949999999999"/>
        <s v="7.2829999999999995"/>
        <s v="7.22515"/>
        <s v="7.1702499999999985"/>
        <s v="7.115"/>
        <s v="7.061300000000001"/>
        <s v="7.0048"/>
        <s v="6.947950000000002"/>
        <s v="6.893150000000002"/>
        <s v="6.848900000000002"/>
        <s v="6.796900000000002"/>
        <s v="6.745200000000002"/>
        <s v="6.695300000000003"/>
        <s v="6.646900000000003"/>
        <s v="6.597600000000001"/>
        <s v="6.549850000000001"/>
        <s v="6.503350000000003"/>
        <s v="6.463150000000002"/>
        <s v="6.430600000000002"/>
        <s v="6.388050000000002"/>
        <s v="6.343700000000002"/>
        <s v="6.3034500000000016"/>
        <s v="6.260900000000003"/>
        <s v="6.21345"/>
        <s v="6.168049999999999"/>
        <s v="6.125149999999998"/>
        <s v="6.082399999999998"/>
        <s v="6.040299999999998"/>
        <s v="5.998449999999998"/>
        <s v="5.959449999999999"/>
        <s v="5.9228999999999985"/>
        <s v="5.887349999999998"/>
        <s v="5.8467499999999974"/>
        <s v="5.806699999999999"/>
        <s v="5.766149999999999"/>
        <s v="5.725999999999999"/>
        <s v="5.685999999999999"/>
        <s v="5.64545"/>
        <s v="5.6038"/>
        <s v="5.562749999999999"/>
        <s v="5.52095"/>
        <s v="5.4796"/>
        <s v="5.435549999999999"/>
        <s v="5.390799999999998"/>
        <s v="5.344149999999998"/>
        <s v="5.300599999999999"/>
        <s v="5.259999999999999"/>
        <s v="5.229499999999998"/>
        <s v="5.198449999999998"/>
        <s v="5.168649999999999"/>
        <s v="5.151750000000001"/>
        <s v="5.13725"/>
        <s v="5.1234"/>
        <s v="5.099200000000001"/>
        <s v="5.07395"/>
        <s v="5.05125"/>
        <s v="5.029"/>
        <s v="5.0041"/>
        <s v="4.97565"/>
        <s v="4.9426000000000005"/>
        <s v="4.9107"/>
        <s v="4.880300000000001"/>
        <s v="4.85045"/>
        <s v="4.818300000000001"/>
        <s v="4.785450000000001"/>
        <s v="4.7529"/>
        <s v="4.722200000000001"/>
        <s v="4.691050000000001"/>
        <s v="4.660800000000002"/>
        <s v="4.635100000000001"/>
        <s v="4.617600000000001"/>
        <s v="4.601200000000001"/>
        <s v="4.5828500000000005"/>
        <s v="4.564850000000001"/>
        <s v="4.5475"/>
        <s v="4.53185"/>
        <s v="4.51515"/>
        <s v="4.4969"/>
        <s v="4.4783"/>
        <s v="4.4612"/>
        <s v="4.44655"/>
        <s v="4.4361500000000005"/>
        <s v="4.423500000000001"/>
        <s v="4.4127"/>
        <s v="4.40945"/>
        <s v="4.40825"/>
        <s v="4.401599999999999"/>
        <s v="4.39525"/>
        <s v="4.3907"/>
        <s v="4.386849999999999"/>
        <s v="4.3866"/>
        <s v="4.3870499999999995"/>
        <s v="4.38775"/>
        <s v="4.386699999999999"/>
        <s v="4.38505"/>
        <s v="4.378549999999999"/>
        <s v="4.373999999999999"/>
        <s v="4.370299999999999"/>
        <s v="4.366349999999998"/>
        <s v="4.363699999999998"/>
        <s v="4.361399999999999"/>
        <s v="4.360899999999998"/>
        <s v="4.3615499999999985"/>
        <s v="4.362449999999998"/>
        <s v="4.363499999999998"/>
        <s v="4.363199999999998"/>
        <s v="4.363299999999999"/>
        <s v="4.364049999999999"/>
        <s v="4.365449999999999"/>
        <s v="4.367299999999999"/>
        <s v="4.368899999999999"/>
        <s v="4.371099999999999"/>
        <s v="4.374949999999998"/>
        <s v="4.380399999999998"/>
        <s v="4.3847999999999985"/>
        <s v="4.389649999999999"/>
        <s v="4.394699999999999"/>
        <s v="4.399049999999999"/>
        <s v="4.40335"/>
        <s v="4.408149999999999"/>
        <s v="4.41405"/>
        <s v="4.42125"/>
        <s v="4.432549999999999"/>
        <s v="4.444649999999998"/>
        <s v="4.458449999999998"/>
        <s v="4.4720499999999985"/>
        <s v="4.484449999999998"/>
        <s v="4.494599999999998"/>
        <s v="4.503949999999999"/>
        <s v="4.514499999999998"/>
        <s v="4.525499999999998"/>
        <s v="4.536499999999998"/>
        <s v="4.546799999999998"/>
        <s v="4.556199999999999"/>
        <s v="4.563799999999998"/>
        <s v="4.572249999999999"/>
        <s v="4.581749999999999"/>
        <s v="4.591249999999999"/>
        <s v="4.600599999999999"/>
        <s v="4.609899999999999"/>
        <s v="4.6196"/>
        <s v="4.6301499999999995"/>
        <s v="4.640899999999999"/>
        <s v="4.6514"/>
        <s v="4.6613999999999995"/>
        <s v="4.671800000000001"/>
        <s v="4.683000000000001"/>
        <s v="4.693650000000002"/>
        <s v="4.7040000000000015"/>
        <s v="4.71475"/>
        <s v="4.728350000000001"/>
        <s v="4.742900000000002"/>
        <s v="4.756550000000002"/>
        <s v="4.771550000000002"/>
        <s v="4.787750000000002"/>
        <s v="4.804050000000002"/>
        <s v="4.820100000000002"/>
        <s v="4.837000000000002"/>
        <s v="4.853300000000002"/>
        <s v="4.869000000000002"/>
        <s v="4.884350000000003"/>
        <s v="4.900100000000002"/>
        <s v="4.916950000000003"/>
        <s v="4.934050000000003"/>
        <s v="4.952000000000003"/>
        <s v="4.970300000000003"/>
        <s v="4.987300000000002"/>
        <s v="5.003350000000003"/>
        <s v="5.020000000000002"/>
        <s v="5.038350000000003"/>
        <s v="5.0580000000000025"/>
        <s v="5.076550000000003"/>
        <s v="5.094050000000003"/>
        <s v="5.1109500000000025"/>
        <s v="5.1277000000000035"/>
        <s v="5.144650000000002"/>
        <s v="5.1620500000000025"/>
        <s v="5.178850000000002"/>
        <s v="5.195900000000003"/>
        <s v="5.213050000000003"/>
        <s v="5.230450000000002"/>
        <s v="5.248000000000003"/>
        <s v="5.264850000000003"/>
        <s v="5.281400000000002"/>
        <s v="5.298600000000002"/>
        <s v="5.314700000000004"/>
        <s v="5.328650000000003"/>
        <s v="5.342850000000003"/>
        <s v="5.358200000000003"/>
        <s v="5.374150000000002"/>
        <s v="5.390050000000001"/>
        <s v="5.405750000000001"/>
        <s v="5.423700000000002"/>
        <s v="5.441550000000002"/>
        <s v="5.458700000000001"/>
        <s v="5.477850000000001"/>
        <s v="5.49855"/>
        <s v="5.520550000000001"/>
        <s v="5.540450000000001"/>
        <s v="5.555400000000001"/>
        <s v="5.575000000000001"/>
        <s v="5.591800000000002"/>
        <s v="5.603100000000003"/>
        <s v="5.612200000000001"/>
        <s v="5.621500000000001"/>
        <s v="5.630100000000002"/>
        <s v="5.642150000000003"/>
        <s v="5.6544000000000025"/>
        <s v="5.664150000000002"/>
        <s v="5.675050000000003"/>
        <s v="5.688200000000004"/>
        <s v="5.702250000000004"/>
        <s v="5.718250000000004"/>
        <s v="5.737650000000005"/>
        <s v="5.762400000000005"/>
        <s v="5.7855000000000025"/>
        <s v="5.808950000000002"/>
        <s v="5.830800000000003"/>
        <s v="5.854400000000002"/>
        <s v="5.879550000000002"/>
        <s v="5.904950000000002"/>
        <s v="5.930900000000001"/>
        <s v="5.959600000000002"/>
        <s v="5.990400000000002"/>
        <s v="6.024350000000002"/>
        <s v="6.059500000000002"/>
        <s v="6.0982"/>
        <s v="6.1372"/>
        <s v="6.168849999999999"/>
        <s v="6.185199999999998"/>
        <s v="6.202599999999999"/>
        <s v="6.223149999999999"/>
        <s v="6.243099999999998"/>
        <s v="6.264699999999998"/>
        <s v="6.288249999999998"/>
        <s v="6.312349999999998"/>
        <s v="6.336899999999998"/>
        <s v="6.364049999999999"/>
        <s v="6.38915"/>
        <s v="6.414849999999999"/>
        <s v="6.4406"/>
        <s v="6.464849999999999"/>
        <s v="6.4913"/>
        <s v="6.518599999999999"/>
        <s v="6.54935"/>
        <s v="6.578549999999999"/>
        <s v="6.610849999999999"/>
        <s v="6.6438"/>
        <s v="6.6774499999999986"/>
        <s v="6.710749999999998"/>
        <s v="6.743699999999998"/>
        <s v="6.774749999999998"/>
        <s v="6.805299999999999"/>
        <s v="6.836849999999998"/>
        <s v="6.868749999999998"/>
        <s v="6.901899999999999"/>
        <s v="6.935999999999998"/>
        <s v="6.971199999999998"/>
        <s v="7.005899999999997"/>
        <s v="7.0425999999999975"/>
        <s v="7.081199999999998"/>
        <s v="7.1195499999999985"/>
        <s v="7.156199999999999"/>
        <s v="7.192349999999999"/>
        <s v="7.227699999999999"/>
        <s v="7.263649999999999"/>
        <s v="7.299499999999999"/>
        <s v="7.33645"/>
        <s v="7.373349999999999"/>
        <s v="7.4105"/>
        <s v="7.446549999999999"/>
        <s v="7.481549999999999"/>
        <s v="7.516449999999999"/>
        <s v="7.552599999999999"/>
        <s v="7.589799999999999"/>
        <s v="7.627899999999999"/>
        <s v="7.666899999999998"/>
        <s v="7.705749999999998"/>
        <s v="7.741749999999999"/>
        <s v="7.7742499999999986"/>
        <s v="7.810649999999998"/>
        <s v="7.847449999999998"/>
        <s v="7.884949999999998"/>
        <s v="7.921899999999997"/>
        <s v="7.957999999999998"/>
        <s v="7.993149999999998"/>
        <s v="8.027899999999999"/>
        <s v="8.062949999999999"/>
        <s v="8.097699999999998"/>
        <s v="8.133049999999997"/>
        <s v="8.167099999999998"/>
        <s v="8.201049999999999"/>
        <s v="8.234549999999997"/>
        <s v="8.268299999999998"/>
        <s v="8.302099999999998"/>
        <s v="8.336199999999996"/>
        <s v="8.367749999999996"/>
        <s v="8.395399999999997"/>
        <s v="8.423149999999996"/>
        <s v="8.451399999999996"/>
        <s v="8.480149999999997"/>
        <s v="8.509399999999996"/>
        <s v="8.539499999999997"/>
        <s v="8.569499999999998"/>
        <s v="8.597649999999996"/>
        <s v="8.625299999999996"/>
        <s v="8.652699999999996"/>
        <s v="8.680199999999996"/>
        <s v="8.707899999999997"/>
        <s v="8.736149999999997"/>
        <s v="8.764499999999996"/>
        <s v="8.792949999999996"/>
        <s v="8.821799999999996"/>
        <s v="8.849799999999995"/>
        <s v="8.879099999999996"/>
        <s v="8.908499999999997"/>
        <s v="8.938349999999996"/>
        <s v="8.968849999999996"/>
        <s v="9.001349999999997"/>
        <s v="9.034749999999997"/>
        <s v="9.067799999999998"/>
        <s v="9.100749999999998"/>
        <s v="9.133599999999998"/>
        <s v="9.16685"/>
        <s v="9.201799999999999"/>
        <s v="9.2379"/>
        <s v="9.2745"/>
        <s v="9.3116"/>
        <s v="9.348549999999998"/>
        <s v="9.384299999999998"/>
        <s v="9.420849999999998"/>
        <s v="9.45805"/>
        <s v="9.4957"/>
        <s v="9.5334"/>
        <s v="9.570649999999999"/>
        <s v="9.607899999999999"/>
        <s v="9.64735"/>
        <s v="9.68815"/>
        <s v="9.729499999999998"/>
        <s v="9.770749999999998"/>
        <s v="9.812549999999998"/>
        <s v="9.853049999999998"/>
        <s v="9.894299999999998"/>
        <s v="9.93615"/>
        <s v="9.978549999999998"/>
        <s v="10.021249999999998"/>
        <s v="10.063549999999998"/>
        <s v="10.105599999999997"/>
        <s v="10.146699999999997"/>
        <s v="10.186849999999998"/>
        <s v="10.226699999999997"/>
        <s v="10.267349999999997"/>
        <s v="10.308649999999998"/>
        <s v="10.349749999999997"/>
        <s v="10.389649999999996"/>
        <s v="10.428549999999998"/>
        <s v="10.4678"/>
        <s v="10.5062"/>
        <s v="10.544849999999999"/>
        <s v="10.58415"/>
        <s v="10.6236"/>
        <s v="10.662849999999999"/>
        <s v="10.700649999999998"/>
        <s v="10.738449999999998"/>
        <s v="10.774499999999998"/>
        <s v="10.808699999999998"/>
        <s v="10.84375"/>
        <s v="10.879349999999999"/>
        <s v="10.914100000000001"/>
        <s v="10.9482"/>
        <s v="10.982000000000001"/>
        <s v="11.017399999999999"/>
        <s v="11.053449999999998"/>
        <s v="11.09165"/>
        <s v="11.130649999999997"/>
        <s v="11.169500000000001"/>
        <s v="11.207350000000002"/>
        <s v="11.245500000000002"/>
        <s v="11.283500000000002"/>
        <s v="11.322750000000001"/>
        <s v="11.365450000000001"/>
        <s v="11.410249999999998"/>
        <s v="11.454749999999999"/>
        <s v="11.500599999999999"/>
        <s v="11.549149999999997"/>
        <s v="11.601649999999998"/>
        <s v="11.653849999999995"/>
        <s v="11.708849999999995"/>
        <s v="11.757999999999996"/>
        <s v="11.808199999999998"/>
        <s v="11.860549999999996"/>
        <s v="11.915599999999998"/>
        <s v="11.973149999999997"/>
        <s v="12.032349999999997"/>
        <s v="12.097149999999997"/>
        <s v="12.160399999999997"/>
        <s v="12.216149999999997"/>
        <s v="12.272249999999996"/>
        <s v="12.328899999999997"/>
        <s v="12.390549999999996"/>
        <s v="12.451399999999996"/>
        <s v="12.516099999999996"/>
        <s v="12.585799999999997"/>
        <s v="12.658699999999996"/>
        <s v="12.732849999999996"/>
        <s v="12.809299999999997"/>
        <s v="12.890199999999998"/>
        <s v="12.973299999999997"/>
        <s v="13.056549999999998"/>
        <s v="13.146699999999996"/>
        <s v="13.235849999999997"/>
        <s v="13.32075"/>
        <s v="13.403899999999998"/>
        <s v="13.491249999999997"/>
        <s v="13.58365"/>
        <s v="13.679049999999997"/>
        <s v="13.776899999999998"/>
        <s v="13.867699999999997"/>
        <s v="13.961399999999996"/>
        <s v="14.054999999999998"/>
        <s v="14.152899999999995"/>
        <s v="14.250849999999996"/>
        <s v="14.356099999999996"/>
        <s v="14.468299999999997"/>
        <s v="14.577199999999996"/>
        <s v="14.684249999999997"/>
        <s v="14.794599999999997"/>
        <s v="14.92445"/>
        <s v="15.091049999999997"/>
        <s v="15.249949999999997"/>
        <s v="15.417799999999998"/>
        <s v="15.594049999999998"/>
        <s v="15.777949999999997"/>
        <s v="15.964999999999996"/>
        <s v="16.131949999999996"/>
        <s v="16.31055"/>
        <s v="16.493199999999998"/>
        <s v="16.670699999999997"/>
        <s v="16.84885"/>
        <s v="17.0289"/>
        <s v="17.2183"/>
        <s v="17.442999999999998"/>
        <s v="17.702299999999997"/>
        <s v="17.99655"/>
        <s v="18.297099999999997"/>
        <s v="18.558099999999996"/>
        <s v="18.847549999999995"/>
        <s v="19.162949999999995"/>
        <s v="19.493599999999994"/>
        <s v="19.863049999999998"/>
        <s v="20.245349999999995"/>
        <s v="20.634249999999998"/>
        <s v="21.0366"/>
        <s v="21.443599999999996"/>
        <s v="21.884599999999995"/>
        <s v="22.363099999999996"/>
        <s v="22.943949999999994"/>
        <s v="23.539999999999996"/>
        <s v="24.172849999999997"/>
        <s v="24.815899999999996"/>
        <s v="25.5179"/>
        <s v="26.3575"/>
        <s v="27.364800000000006"/>
        <s v="28.212100000000007"/>
        <s v="28.8119"/>
        <s v="29.174550000000004"/>
        <s v="29.657000000000004"/>
        <s v="30.082000000000004"/>
        <s v="30.4552"/>
        <s v="30.720650000000006"/>
        <s v="31.08310000000001"/>
        <s v="31.50525000000001"/>
        <s v="32.03615000000001"/>
        <s v="32.58785000000001"/>
        <s v="33.12055000000001"/>
        <s v="33.66610000000001"/>
        <s v="34.26695000000001"/>
        <s v="34.95620000000001"/>
        <s v="35.60920000000001"/>
        <s v="36.21170000000001"/>
        <s v="36.80435000000001"/>
        <s v="37.405800000000006"/>
        <s v="38.05095000000001"/>
        <s v="38.685700000000004"/>
        <s v="39.230650000000004"/>
        <s v="39.7048"/>
        <s v="40.10315000000001"/>
        <s v="40.577450000000006"/>
        <s v="41.0857"/>
        <s v="41.61160000000001"/>
        <s v="42.08610000000001"/>
        <s v="42.59235"/>
        <s v="43.09005"/>
        <s v="43.6183"/>
        <s v="44.13605"/>
        <s v="44.6492"/>
        <s v="45.1758"/>
        <s v="45.69604999999999"/>
        <s v="46.1923"/>
        <s v="46.7108"/>
        <s v="47.25724999999999"/>
        <s v="47.81354999999999"/>
        <s v="48.35899999999999"/>
        <s v="48.90674999999998"/>
        <s v="49.454349999999984"/>
        <s v="50.00674999999998"/>
        <s v="50.57174999999997"/>
        <s v="51.162599999999976"/>
        <s v="51.75829999999997"/>
        <s v="52.36849999999997"/>
        <s v="52.958949999999966"/>
        <s v="53.54079999999997"/>
        <s v="54.13349999999998"/>
        <s v="54.725449999999974"/>
        <s v="55.310549999999985"/>
        <s v="55.89629999999998"/>
        <s v="56.451349999999984"/>
        <s v="56.991749999999996"/>
        <s v="57.53904999999999"/>
        <s v="58.08639999999998"/>
        <s v="58.62664999999999"/>
        <s v="59.13004999999999"/>
        <s v="59.61699999999998"/>
        <s v="60.048549999999985"/>
        <s v="60.51179999999999"/>
        <s v="60.98469999999998"/>
        <s v="61.467249999999986"/>
        <s v="61.93034999999999"/>
        <s v="62.37134999999999"/>
        <s v="62.81289999999999"/>
        <s v="63.25124999999999"/>
        <s v="63.69289999999998"/>
        <s v="64.16469999999998"/>
        <s v="64.6368"/>
        <s v="65.12445"/>
        <s v="65.60249999999999"/>
        <s v="66.06269999999999"/>
        <s v="66.52109999999999"/>
        <s v="66.961"/>
        <s v="67.41265"/>
        <s v="67.85685000000001"/>
        <s v="68.2937"/>
        <s v="68.7022"/>
        <s v="69.11025"/>
        <s v="69.5137"/>
        <s v="69.89075"/>
        <s v="70.26355"/>
        <s v="70.60974999999999"/>
        <s v="70.9325"/>
        <s v="71.2207"/>
        <s v="71.49994999999998"/>
        <s v="71.78455"/>
        <s v="72.09729999999999"/>
        <s v="72.40249999999997"/>
        <s v="72.74114999999999"/>
        <s v="73.10714999999999"/>
        <s v="73.51579999999998"/>
        <s v="73.90834999999998"/>
        <s v="74.31169999999997"/>
        <s v="74.72764999999998"/>
        <s v="75.13674999999998"/>
        <s v="75.54599999999998"/>
        <s v="75.92049999999998"/>
        <s v="76.30154999999996"/>
        <s v="76.68044999999998"/>
        <s v="77.05289999999998"/>
        <s v="77.42794999999998"/>
        <s v="77.81554999999999"/>
        <s v="78.20399999999998"/>
        <s v="78.60389999999998"/>
        <s v="79.00234999999996"/>
        <s v="79.39764999999997"/>
        <s v="79.81339999999997"/>
        <s v="80.23079999999997"/>
        <s v="80.66104999999997"/>
        <s v="81.11269999999996"/>
        <s v="81.54954999999997"/>
        <s v="81.98524999999997"/>
        <s v="82.41549999999995"/>
        <s v="82.84699999999997"/>
        <s v="83.28084999999997"/>
        <s v="83.71319999999997"/>
        <s v="84.14004999999997"/>
        <s v="84.55784999999997"/>
        <s v="84.96364999999996"/>
        <s v="85.36294999999997"/>
        <s v="85.77879999999996"/>
        <s v="86.20014999999995"/>
        <s v="86.62774999999996"/>
        <s v="87.08314999999995"/>
        <s v="87.52169999999995"/>
        <s v="87.95019999999997"/>
        <s v="88.39029999999997"/>
        <s v="88.83839999999996"/>
        <s v="89.30029999999995"/>
        <s v="89.76749999999994"/>
        <s v="90.24609999999996"/>
        <s v="90.72349999999994"/>
        <s v="91.19304999999994"/>
        <s v="91.66299999999995"/>
        <s v="92.13124999999995"/>
        <s v="92.60114999999996"/>
        <s v="93.10934999999996"/>
        <s v="93.60999999999996"/>
        <s v="94.10509999999996"/>
        <s v="94.64229999999996"/>
        <s v="95.19849999999995"/>
        <s v="95.75899999999996"/>
        <s v="96.31404999999995"/>
        <s v="96.84404999999995"/>
        <s v="97.34684999999996"/>
        <s v="97.81239999999997"/>
        <s v="98.29294999999996"/>
        <s v="98.75159999999997"/>
        <s v="99.23409999999996"/>
        <s v="99.71304999999997"/>
        <s v="100.20734999999996"/>
        <s v="100.72539999999998"/>
        <s v="101.24429999999997"/>
        <s v="101.73249999999999"/>
        <s v="102.21904999999997"/>
        <s v="102.71214999999997"/>
        <s v="103.20084999999997"/>
        <s v="103.6883"/>
        <s v="104.16994999999999"/>
        <s v="104.64414999999997"/>
        <s v="105.10429999999998"/>
        <s v="105.54264999999998"/>
        <s v="105.95174999999999"/>
        <s v="106.37629999999997"/>
        <s v="106.79719999999998"/>
        <s v="107.20929999999998"/>
        <s v="107.62709999999997"/>
        <s v="108.04914999999997"/>
        <s v="108.51079999999996"/>
        <s v="108.94434999999996"/>
        <s v="109.37614999999997"/>
        <s v="109.80654999999996"/>
        <s v="110.17824999999995"/>
        <s v="110.58849999999995"/>
        <s v="110.98199999999997"/>
        <s v="111.34324999999997"/>
        <s v="111.67329999999997"/>
        <s v="111.96169999999996"/>
        <s v="112.26489999999995"/>
        <s v="112.60444999999996"/>
        <s v="112.91469999999995"/>
        <s v="113.21304999999995"/>
        <s v="113.51084999999993"/>
        <s v="113.78684999999996"/>
        <s v="114.07509999999996"/>
        <s v="114.35514999999995"/>
        <s v="114.63424999999995"/>
        <s v="114.94509999999997"/>
        <s v="115.28734999999993"/>
        <s v="115.59914999999995"/>
        <s v="115.87409999999994"/>
        <s v="116.19119999999995"/>
        <s v="116.54354999999995"/>
        <s v="116.81954999999996"/>
        <s v="116.95834999999995"/>
        <s v="116.94504999999995"/>
        <s v="116.85619999999996"/>
        <s v="116.95499999999991"/>
        <s v="117.30524999999993"/>
        <s v="117.90689999999991"/>
        <s v="118.3829499999999"/>
        <s v="118.9256999999999"/>
        <s v="119.53374999999991"/>
        <s v="120.2434999999999"/>
        <s v="120.9051999999999"/>
        <s v="121.59294999999992"/>
        <s v="122.28804999999991"/>
        <s v="123.13404999999992"/>
        <s v="124.1212499999999"/>
        <s v="125.37604999999992"/>
        <s v="126.40349999999994"/>
        <s v="127.34789999999994"/>
        <s v="128.51924999999994"/>
        <s v="129.77569999999997"/>
        <s v="131.25114999999997"/>
        <s v="132.72954999999996"/>
        <s v="134.22609999999997"/>
        <s v="135.93829999999997"/>
        <s v="138.31309999999996"/>
        <s v="141.81695"/>
        <s v="144.19819999999996"/>
        <s v="147.04444999999998"/>
        <s v="150.26784999999998"/>
        <s v="154.16715"/>
        <s v="157.70065"/>
        <s v="161.35689999999997"/>
        <s v="165.04019999999997"/>
        <s v="168.99659999999997"/>
        <s v="173.48144999999997"/>
        <s v="178.55734999999996"/>
        <s v="183.89359999999994"/>
        <s v="188.84139999999996"/>
        <s v="193.46579999999997"/>
        <s v="198.13414999999998"/>
        <s v="202.98664999999997"/>
        <s v="207.23984999999996"/>
        <s v="211.72459999999998"/>
        <s v="214.53945"/>
        <s v="217.90535"/>
        <s v="221.76154999999994"/>
        <s v="225.81669999999997"/>
        <s v="229.88084999999995"/>
        <s v="233.63565"/>
        <s v="237.58425"/>
        <s v="241.38299999999998"/>
        <s v="244.9225"/>
        <s v="248.3387"/>
        <s v="251.1034"/>
        <s v="252.86365"/>
        <s v="255.15649999999997"/>
        <s v="257.92365"/>
        <s v="260.3963"/>
        <s v="262.9708"/>
        <s v="265.50345"/>
        <s v="268.15110000000004"/>
        <s v="270.88160000000005"/>
        <s v="273.83470000000005"/>
        <s v="277.0708000000001"/>
        <s v="280.19825000000003"/>
        <s v="283.23940000000005"/>
        <s v="286.36220000000003"/>
        <s v="289.4870000000001"/>
        <s v="292.7297500000001"/>
        <s v="295.9274000000001"/>
        <s v="299.4529500000001"/>
        <s v="302.94910000000004"/>
        <s v="306.65540000000004"/>
        <s v="310.98560000000003"/>
        <s v="315.01745000000005"/>
        <s v="318.69500000000005"/>
        <s v="322.31020000000007"/>
        <s v="325.94820000000004"/>
        <s v="329.9456500000001"/>
        <s v="333.71975000000003"/>
        <s v="337.28275"/>
        <s v="340.95115000000004"/>
        <s v="344.61930000000007"/>
        <s v="348.4054"/>
        <s v="352.0642"/>
        <s v="355.64465"/>
        <s v="359.28245000000004"/>
        <s v="363.10945"/>
        <s v="366.95655000000005"/>
        <s v="370.81105"/>
        <s v="374.6021500000001"/>
        <s v="378.3379000000001"/>
        <s v="381.8896000000001"/>
        <s v="385.6135500000001"/>
        <s v="389.45145"/>
        <s v="392.8877500000001"/>
        <s v="396.49930000000006"/>
        <s v="400.18410000000006"/>
        <s v="403.75660000000005"/>
        <s v="407.4122000000001"/>
        <s v="411.11905000000013"/>
        <s v="414.7794000000001"/>
        <s v="418.4650000000001"/>
        <s v="422.1675000000001"/>
        <s v="425.82175"/>
        <s v="429.30145000000005"/>
        <s v="432.48220000000003"/>
        <s v="435.4258500000001"/>
        <s v="438.41285000000005"/>
        <s v="441.3384500000001"/>
        <s v="444.22030000000007"/>
        <s v="447.05510000000004"/>
        <s v="449.65115000000003"/>
        <s v="452.4843000000001"/>
        <s v="455.25065"/>
        <s v="457.81855"/>
        <s v="460.4654000000001"/>
        <s v="463.0980000000001"/>
        <s v="465.7244000000001"/>
        <s v="468.0401000000001"/>
        <s v="470.39740000000006"/>
        <s v="472.8912"/>
        <s v="475.44854999999995"/>
        <s v="477.7145"/>
        <s v="479.9076"/>
        <s v="482.34515"/>
        <s v="484.7522"/>
        <s v="487.00625"/>
        <s v="489.3307000000001"/>
        <s v="491.57575"/>
        <s v="494.3554500000001"/>
        <s v="497.17305"/>
        <s v="499.9501000000001"/>
        <s v="502.70045000000005"/>
        <s v="505.2848"/>
        <s v="507.8052"/>
        <s v="510.41625000000005"/>
        <s v="512.9716999999999"/>
        <s v="515.56085"/>
        <s v="518.15115"/>
        <s v="520.76835"/>
        <s v="523.3337000000001"/>
        <s v="525.88935"/>
        <s v="528.4251"/>
        <s v="530.9237"/>
        <s v="533.3378"/>
        <s v="535.7092"/>
        <s v="537.9698000000001"/>
        <s v="540.2021500000001"/>
        <s v="542.3641500000001"/>
        <s v="544.5547000000003"/>
        <s v="546.7801500000002"/>
        <s v="549.0595000000003"/>
        <s v="551.3647500000003"/>
        <s v="553.4489000000003"/>
        <s v="555.3341000000003"/>
        <s v="557.1807500000002"/>
        <s v="558.8746000000003"/>
        <s v="560.5002500000003"/>
        <s v="562.1736500000003"/>
        <s v="563.8645000000002"/>
        <s v="565.3820500000003"/>
        <s v="566.9436000000004"/>
        <s v="568.5435000000003"/>
        <s v="570.1922500000004"/>
        <s v="571.8233500000003"/>
        <s v="573.4403500000004"/>
        <s v="575.0557500000003"/>
        <s v="576.4649000000004"/>
        <s v="577.8547500000003"/>
        <s v="579.3480000000004"/>
        <s v="580.7909000000004"/>
        <s v="582.3690000000004"/>
        <s v="584.1466500000004"/>
        <s v="586.0481500000004"/>
        <s v="587.9107000000004"/>
        <s v="589.6729500000004"/>
        <s v="591.4656500000004"/>
        <s v="593.3717500000004"/>
        <s v="595.2296500000003"/>
        <s v="597.0668000000004"/>
        <s v="598.8804500000003"/>
        <s v="600.6929000000003"/>
        <s v="602.3770000000004"/>
        <s v="604.0029500000004"/>
        <s v="605.6111000000004"/>
        <s v="607.1402000000004"/>
        <s v="608.6931500000004"/>
        <s v="610.2390000000005"/>
        <s v="611.8102500000003"/>
        <s v="613.3319000000004"/>
        <s v="614.8129500000005"/>
        <s v="616.2514500000004"/>
        <s v="617.6437500000004"/>
        <s v="618.9529500000004"/>
        <s v="620.2879000000005"/>
        <s v="621.5917000000005"/>
        <s v="622.8551500000004"/>
        <s v="624.0685500000004"/>
        <s v="625.3140500000004"/>
        <s v="626.6123000000005"/>
        <s v="627.9238500000004"/>
        <s v="629.1624000000004"/>
        <s v="630.3925500000004"/>
        <s v="631.6227000000003"/>
        <s v="632.8445500000003"/>
        <s v="634.0623500000004"/>
        <s v="635.2634000000003"/>
        <s v="636.5423500000004"/>
        <s v="637.9622500000004"/>
        <s v="639.4171000000003"/>
        <s v="640.8869000000004"/>
        <s v="642.2040000000003"/>
        <s v="643.5395000000003"/>
        <s v="644.8569500000003"/>
        <s v="645.8622500000002"/>
        <s v="647.0316000000004"/>
        <s v="648.1684000000002"/>
        <s v="649.2698000000003"/>
        <s v="650.4386500000002"/>
        <s v="651.5289500000002"/>
        <s v="652.5658500000002"/>
        <s v="653.6721000000002"/>
        <s v="654.4742000000002"/>
        <s v="654.7524000000002"/>
        <s v="653.9985500000001"/>
        <s v="654.4252000000001"/>
        <s v="654.3267000000002"/>
        <s v="653.7874500000001"/>
        <s v="652.5702500000002"/>
        <s v="651.73505"/>
        <s v="650.6408000000001"/>
        <s v="649.3994500000001"/>
        <s v="647.7566000000002"/>
        <s v="645.53595"/>
        <s v="642.877"/>
        <s v="639.95725"/>
        <s v="637.4889000000002"/>
        <s v="635.3504500000001"/>
        <s v="633.0798000000001"/>
        <s v="630.5983500000001"/>
        <s v="628.74505"/>
        <s v="626.6306500000001"/>
        <s v="626.17375"/>
        <s v="625.07575"/>
        <s v="623.54155"/>
        <s v="621.8628"/>
        <s v="620.1538"/>
        <s v="618.7464000000001"/>
        <s v="617.2389500000002"/>
        <s v="616.0484000000001"/>
        <s v="615.1077500000001"/>
        <s v="614.2725500000001"/>
        <s v="614.0560000000002"/>
        <s v="614.8111500000001"/>
        <s v="615.0486500000002"/>
        <s v="614.8137000000002"/>
        <s v="614.8670000000001"/>
        <s v="614.8133500000001"/>
        <s v="614.7708500000001"/>
        <s v="614.6373500000001"/>
        <s v="614.4977"/>
        <s v="614.1413000000001"/>
        <s v="613.5272000000001"/>
        <s v="612.9896"/>
        <s v="612.5075499999999"/>
        <s v="611.9331"/>
        <s v="611.3996"/>
        <s v="610.7869999999999"/>
        <s v="610.21345"/>
        <s v="609.2965499999999"/>
        <s v="608.4086499999999"/>
        <s v="607.2744999999999"/>
        <s v="605.46215"/>
        <s v="603.8877"/>
        <s v="602.6537"/>
        <s v="601.4929"/>
        <s v="600.2548999999999"/>
        <s v="598.6766999999999"/>
        <s v="597.2804999999998"/>
        <s v="596.0715999999999"/>
        <s v="594.8605999999999"/>
        <s v="593.6691499999998"/>
        <s v="592.3341999999998"/>
        <s v="591.1424499999997"/>
        <s v="590.0507499999997"/>
        <s v="588.9000499999997"/>
        <s v="587.5893499999997"/>
        <s v="586.3189999999997"/>
        <s v="585.0563999999997"/>
        <s v="583.8692499999996"/>
        <s v="582.7120499999997"/>
        <s v="581.6346499999996"/>
        <s v="580.3072499999997"/>
        <s v="578.6700499999997"/>
        <s v="577.3340999999997"/>
        <s v="575.7479499999996"/>
        <s v="574.1204499999997"/>
        <s v="572.4482499999996"/>
        <s v="570.6696999999997"/>
        <s v="568.9272999999997"/>
        <s v="567.3880999999997"/>
        <s v="565.8238999999998"/>
        <s v="564.1928999999997"/>
        <s v="562.6103999999997"/>
        <s v="561.2092499999998"/>
        <s v="560.1244999999998"/>
        <s v="559.2998499999998"/>
        <s v="558.4118999999997"/>
        <s v="557.5590999999998"/>
        <s v="556.7334999999998"/>
        <s v="555.8838499999998"/>
        <s v="555.2003999999998"/>
        <s v="554.2697999999998"/>
        <s v="553.3952499999998"/>
        <s v="552.7265499999997"/>
        <s v="552.0067999999999"/>
        <s v="551.2921499999998"/>
        <s v="550.5937999999999"/>
        <s v="550.1508999999999"/>
        <s v="549.6441499999999"/>
        <s v="549.0453499999999"/>
        <s v="548.3776499999999"/>
        <s v="547.9967499999999"/>
        <s v="547.7086999999999"/>
        <s v="547.17625"/>
        <s v="546.6534999999999"/>
        <s v="546.2470499999998"/>
        <s v="545.7159499999999"/>
        <s v="545.1347"/>
        <s v="543.8598999999999"/>
        <s v="542.5757999999998"/>
        <s v="541.2703499999998"/>
        <s v="539.9874499999999"/>
        <s v="538.8829499999997"/>
        <s v="537.9264999999997"/>
        <s v="536.8073499999997"/>
        <s v="535.7054499999998"/>
        <s v="534.5583499999997"/>
        <s v="533.3568999999997"/>
        <s v="532.0604999999997"/>
        <s v="530.8228999999998"/>
        <s v="529.5747999999999"/>
        <s v="528.3246999999998"/>
        <s v="527.0658999999998"/>
        <s v="525.7336499999998"/>
        <s v="524.2699999999999"/>
        <s v="522.9486499999998"/>
        <s v="521.6901499999999"/>
        <s v="520.5581999999999"/>
        <s v="519.5451499999999"/>
        <s v="518.5382"/>
        <s v="517.4503999999998"/>
        <s v="516.3643999999999"/>
        <s v="515.5463499999998"/>
        <s v="515.0439999999999"/>
        <s v="514.5275499999999"/>
        <s v="514.1109499999999"/>
        <s v="513.7226499999999"/>
        <s v="513.3443"/>
        <s v="512.96695"/>
        <s v="512.7224"/>
        <s v="512.4418499999999"/>
        <s v="512.1105"/>
        <s v="511.6583"/>
        <s v="511.17675"/>
        <s v="510.6782"/>
        <s v="510.1908499999999"/>
        <s v="509.92314999999985"/>
        <s v="509.6901499999999"/>
        <s v="509.3010999999999"/>
        <s v="508.91720000000004"/>
        <s v="508.39975"/>
        <s v="507.6164"/>
        <s v="506.6638999999999"/>
        <s v="505.7839499999999"/>
        <s v="504.9971499999999"/>
        <s v="504.23124999999993"/>
        <s v="503.4371499999999"/>
        <s v="502.66445"/>
        <s v="501.9133499999999"/>
        <s v="501.21945"/>
        <s v="500.5955"/>
        <s v="500.11774999999994"/>
        <s v="499.81064999999995"/>
        <s v="499.70624999999995"/>
        <s v="499.51005"/>
        <s v="499.22515"/>
        <s v="498.9156"/>
        <s v="498.62799999999993"/>
        <s v="498.29069999999984"/>
        <s v="497.98579999999987"/>
        <s v="497.64429999999993"/>
        <s v="497.2401499999999"/>
        <s v="496.8784999999999"/>
        <s v="496.49364999999983"/>
        <s v="496.1531999999999"/>
        <s v="495.83554999999984"/>
        <s v="495.44299999999987"/>
        <s v="495.08189999999996"/>
        <s v="494.73355"/>
        <s v="494.4287499999999"/>
        <s v="494.10495"/>
        <s v="493.7729499999999"/>
        <s v="493.44509999999997"/>
        <s v="493.09874999999994"/>
        <s v="492.73964999999987"/>
        <s v="492.38039999999984"/>
        <s v="491.9395999999999"/>
        <s v="491.3703499999998"/>
        <s v="490.6829499999998"/>
        <s v="489.8127499999998"/>
        <s v="488.9636999999998"/>
        <s v="487.9321999999998"/>
        <s v="486.79154999999975"/>
        <s v="485.6692999999998"/>
        <s v="484.5607499999998"/>
        <s v="483.4743999999999"/>
        <s v="482.17444999999987"/>
        <s v="480.7107999999999"/>
        <s v="479.06079999999986"/>
        <s v="477.45384999999993"/>
        <s v="475.7732999999999"/>
        <s v="474.19139999999993"/>
        <s v="472.5802"/>
        <s v="470.9694999999998"/>
        <s v="469.36239999999975"/>
        <s v="467.69099999999975"/>
        <s v="466.0616499999998"/>
        <s v="464.4006999999998"/>
        <s v="462.7593499999999"/>
        <s v="461.2195999999999"/>
        <s v="459.8002999999998"/>
        <s v="458.47619999999984"/>
        <s v="457.2204499999997"/>
        <s v="455.81239999999974"/>
        <s v="454.34014999999977"/>
        <s v="452.6655999999998"/>
        <s v="450.9949499999999"/>
        <s v="449.41539999999986"/>
        <s v="447.8901499999998"/>
        <s v="446.32964999999973"/>
        <s v="444.7885999999998"/>
        <s v="443.2346499999998"/>
        <s v="441.7398999999999"/>
        <s v="440.1651999999999"/>
        <s v="438.37629999999996"/>
        <s v="436.37225"/>
        <s v="434.40969999999993"/>
        <s v="432.36479999999995"/>
        <s v="430.12064999999996"/>
        <s v="427.9193"/>
        <s v="425.7549000000001"/>
        <s v="423.6207500000001"/>
        <s v="421.5451500000001"/>
        <s v="419.5358"/>
        <s v="417.54690000000005"/>
        <s v="415.61635"/>
        <s v="413.7351000000001"/>
        <s v="412.04520000000014"/>
        <s v="410.24060000000003"/>
        <s v="408.3551"/>
        <s v="406.37665"/>
        <s v="404.42905000000013"/>
        <s v="402.45845000000014"/>
        <s v="400.4609000000002"/>
        <s v="398.50580000000014"/>
        <s v="396.5762000000001"/>
        <s v="394.57475000000005"/>
        <s v="392.5662500000001"/>
        <s v="390.5620500000001"/>
        <s v="388.5841500000001"/>
        <s v="386.6066500000002"/>
        <s v="384.6625500000002"/>
        <s v="382.7528500000002"/>
        <s v="380.8795000000002"/>
        <s v="379.0067000000002"/>
        <s v="377.24345000000017"/>
        <s v="375.5484000000002"/>
        <s v="373.9031000000002"/>
        <s v="372.2110500000001"/>
        <s v="370.4470500000001"/>
        <s v="368.69740000000013"/>
        <s v="366.96515000000016"/>
        <s v="365.2459000000001"/>
        <s v="363.5400500000002"/>
        <s v="361.8254500000001"/>
        <s v="360.0812500000001"/>
        <s v="358.31465000000003"/>
        <s v="356.56495"/>
        <s v="354.80424999999997"/>
        <s v="353.12729999999993"/>
        <s v="351.5406"/>
        <s v="350.03595"/>
        <s v="348.74379999999996"/>
        <s v="347.5906"/>
        <s v="346.48755"/>
        <s v="345.32929999999993"/>
        <s v="344.3268499999999"/>
        <s v="343.3383499999998"/>
        <s v="342.27804999999984"/>
        <s v="341.0923999999998"/>
        <s v="339.99999999999983"/>
        <s v="338.95064999999994"/>
        <s v="337.91079999999994"/>
        <s v="336.8518"/>
        <s v="335.7349"/>
        <s v="334.58719999999994"/>
        <s v="333.4922999999999"/>
        <s v="332.40594999999996"/>
        <s v="331.25949999999995"/>
        <s v="330.10135"/>
        <s v="329.0176"/>
        <s v="327.93365000000006"/>
        <s v="326.8571"/>
        <s v="325.7779000000001"/>
        <s v="324.63015000000007"/>
        <s v="323.4344500000001"/>
        <s v="322.25540000000007"/>
        <s v="321.1225500000001"/>
        <s v="320.02575000000013"/>
        <s v="318.8522000000001"/>
        <s v="317.6886500000001"/>
        <s v="316.54110000000014"/>
        <s v="315.37320000000017"/>
        <s v="314.2305000000002"/>
        <s v="313.1178500000002"/>
        <s v="312.0334500000002"/>
        <s v="311.0143000000002"/>
        <s v="310.1025000000002"/>
        <s v="309.3488000000002"/>
        <s v="308.5478000000002"/>
        <s v="307.76470000000023"/>
        <s v="306.9473500000002"/>
        <s v="306.0885000000002"/>
        <s v="305.1426000000002"/>
        <s v="304.2437500000001"/>
        <s v="303.32035000000013"/>
        <s v="302.4195000000001"/>
        <s v="301.6003000000001"/>
        <s v="300.8345000000001"/>
        <s v="300.0503500000001"/>
        <s v="299.2502500000001"/>
        <s v="298.4736500000001"/>
        <s v="297.76070000000004"/>
        <s v="297.2037000000001"/>
        <s v="296.7962500000001"/>
        <s v="296.3361500000001"/>
        <s v="295.8321500000001"/>
        <s v="295.2376500000001"/>
        <s v="294.5327500000001"/>
        <s v="293.85375000000005"/>
        <s v="293.18450000000007"/>
        <s v="292.52985000000007"/>
        <s v="291.81555000000003"/>
        <s v="290.98645000000005"/>
        <s v="290.214"/>
        <s v="289.47905"/>
        <s v="288.75915"/>
        <s v="288.00614999999993"/>
        <s v="287.21705"/>
        <s v="286.49999999999994"/>
        <s v="285.78484999999995"/>
        <s v="285.07089999999994"/>
        <s v="284.43584999999996"/>
        <s v="283.8580999999999"/>
        <s v="283.32079999999996"/>
        <s v="282.77674999999994"/>
        <s v="282.1944"/>
        <s v="281.60425"/>
        <s v="281.05749999999995"/>
        <s v="280.5462"/>
        <s v="280.00589999999994"/>
        <s v="279.527"/>
        <s v="279.08015"/>
        <s v="278.6234"/>
        <s v="278.18399999999997"/>
        <s v="277.6978"/>
        <s v="277.17905"/>
        <s v="276.63995"/>
        <s v="276.11240000000004"/>
        <s v="275.5488"/>
        <s v="274.9127500000001"/>
        <s v="274.25230000000005"/>
        <s v="273.44680000000005"/>
        <s v="272.43140000000005"/>
        <s v="271.57320000000004"/>
        <s v="270.77465000000007"/>
        <s v="269.98890000000006"/>
        <s v="269.13565000000006"/>
        <s v="268.3604000000001"/>
        <s v="267.591"/>
        <s v="266.89300000000003"/>
        <s v="266.2867"/>
        <s v="265.65815"/>
        <s v="265.01775"/>
        <s v="264.30115"/>
        <s v="263.544"/>
        <s v="262.85245000000003"/>
        <s v="262.1712"/>
        <s v="261.53180000000003"/>
        <s v="260.89480000000003"/>
        <s v="260.24840000000006"/>
        <s v="259.58955000000003"/>
        <s v="258.89995000000005"/>
        <s v="258.23035"/>
        <s v="257.58735"/>
        <s v="256.9521"/>
        <s v="256.29735"/>
        <s v="255.63180000000003"/>
        <s v="255.00105000000008"/>
        <s v="254.47000000000003"/>
        <s v="253.96710000000007"/>
        <s v="253.47385000000006"/>
        <s v="253.02985000000007"/>
        <s v="252.58600000000007"/>
        <s v="252.1272500000001"/>
        <s v="251.66545000000008"/>
        <s v="251.27595000000005"/>
        <s v="250.97905000000006"/>
        <s v="250.77300000000005"/>
        <s v="250.54895000000008"/>
        <s v="250.27200000000008"/>
        <s v="250.00075000000007"/>
        <s v="249.76305000000008"/>
        <s v="249.55115000000006"/>
        <s v="249.41860000000005"/>
        <s v="249.28130000000004"/>
        <s v="249.11825000000007"/>
        <s v="248.9712000000001"/>
        <s v="248.7977500000001"/>
        <s v="248.60195000000013"/>
        <s v="248.41440000000014"/>
        <s v="248.2176500000001"/>
        <s v="248.0219000000001"/>
        <s v="247.8433500000001"/>
        <s v="247.70590000000007"/>
        <s v="247.72300000000007"/>
        <s v="247.7742500000001"/>
        <s v="247.8314500000001"/>
        <s v="247.84345000000008"/>
        <s v="247.85400000000004"/>
        <s v="247.90255000000008"/>
        <s v="247.95925000000005"/>
        <s v="248.03430000000003"/>
        <s v="248.11710000000005"/>
        <s v="248.32830000000004"/>
        <s v="248.74250000000006"/>
        <s v="249.12880000000007"/>
        <s v="249.49495000000007"/>
        <s v="249.91155000000003"/>
        <s v="250.28830000000002"/>
        <s v="250.62915000000004"/>
        <s v="250.95050000000006"/>
        <s v="251.1928000000001"/>
        <s v="251.3619000000001"/>
        <s v="251.5460000000001"/>
        <s v="251.7031000000001"/>
        <s v="251.7920500000001"/>
        <s v="251.71735000000012"/>
        <s v="251.7464000000001"/>
        <s v="251.7832000000001"/>
        <s v="251.91600000000008"/>
        <s v="252.03630000000013"/>
        <s v="252.06535000000008"/>
        <s v="252.1359500000001"/>
        <s v="252.17605000000006"/>
        <s v="252.14840000000004"/>
        <s v="252.16960000000006"/>
        <s v="252.16410000000005"/>
        <s v="252.13360000000003"/>
        <s v="252.12950000000004"/>
        <s v="252.13595"/>
        <s v="252.1691"/>
        <s v="252.23075"/>
        <s v="252.27165000000002"/>
        <s v="252.31480000000002"/>
        <s v="252.30555000000004"/>
        <s v="252.21955000000003"/>
        <s v="252.12254999999996"/>
        <s v="252.10604999999995"/>
        <s v="252.07749999999996"/>
        <s v="252.07734999999997"/>
        <s v="252.08989999999997"/>
        <s v="252.09144999999998"/>
        <s v="252.07735"/>
        <s v="252.06669999999997"/>
        <s v="252.09044999999998"/>
        <s v="252.09544999999994"/>
        <s v="252.07314999999994"/>
        <s v="252.03664999999998"/>
        <s v="251.94484999999997"/>
        <s v="251.83154999999996"/>
        <s v="251.73394999999996"/>
        <s v="251.59364999999997"/>
        <s v="251.38374999999996"/>
        <s v="251.15164999999996"/>
        <s v="250.94080000000002"/>
        <s v="250.72564999999997"/>
        <s v="250.51589999999996"/>
        <s v="250.30564999999999"/>
        <s v="250.07695"/>
        <s v="249.78790000000004"/>
        <s v="249.49375000000003"/>
        <s v="249.20855000000003"/>
        <s v="248.94925000000003"/>
        <s v="248.72215000000003"/>
        <s v="248.49075000000002"/>
        <s v="248.22795"/>
        <s v="247.97525"/>
        <s v="247.805"/>
        <s v="247.71629999999996"/>
        <s v="247.6288"/>
        <s v="247.5573"/>
        <s v="247.47095"/>
        <s v="247.35915"/>
        <s v="247.30730000000003"/>
        <s v="247.32295000000005"/>
        <s v="247.31510000000006"/>
        <s v="247.31780000000006"/>
        <s v="247.32205000000005"/>
        <s v="247.37110000000004"/>
        <s v="247.44780000000003"/>
        <s v="247.56425000000002"/>
        <s v="247.67915000000002"/>
        <s v="247.75639999999999"/>
        <s v="247.82829999999998"/>
        <s v="247.9039"/>
        <s v="247.9848"/>
        <s v="248.07995000000003"/>
        <s v="248.21095000000005"/>
        <s v="248.40935000000002"/>
        <s v="248.612"/>
        <s v="248.88365000000002"/>
        <s v="249.2065"/>
        <s v="249.57085000000004"/>
        <s v="250.02890000000002"/>
        <s v="250.53895000000003"/>
        <s v="251.01985000000002"/>
        <s v="251.55790000000002"/>
        <s v="252.34439999999998"/>
        <s v="253.45840000000004"/>
        <s v="254.33405000000005"/>
        <s v="255.0716500000001"/>
        <s v="255.85515000000007"/>
        <s v="256.59125000000006"/>
        <s v="257.29025000000007"/>
        <s v="257.95680000000004"/>
        <s v="258.38810000000007"/>
        <s v="258.92885000000007"/>
        <s v="259.49080000000015"/>
        <s v="260.0287500000002"/>
        <s v="260.5377000000001"/>
        <s v="260.98615000000007"/>
        <s v="261.48165000000006"/>
        <s v="261.9772500000001"/>
        <s v="262.4359000000001"/>
        <s v="262.8355000000001"/>
        <s v="263.2815500000001"/>
        <s v="263.73000000000013"/>
        <s v="264.1864500000001"/>
        <s v="264.6002500000001"/>
        <s v="265.0050500000001"/>
        <s v="265.5090500000001"/>
        <s v="266.0765500000001"/>
        <s v="266.64305000000013"/>
        <s v="267.23705000000007"/>
        <s v="267.9028500000001"/>
        <s v="268.5519000000001"/>
        <s v="269.1414000000001"/>
        <s v="269.7707500000001"/>
        <s v="270.3945500000001"/>
        <s v="271.10325000000006"/>
        <s v="271.9014"/>
        <s v="272.69140000000004"/>
        <s v="273.48780000000005"/>
        <s v="274.3775"/>
        <s v="275.2566"/>
        <s v="276.2259"/>
        <s v="277.19890000000004"/>
        <s v="278.18755000000004"/>
        <s v="279.20405000000005"/>
        <s v="280.2984000000001"/>
        <s v="281.40635000000003"/>
        <s v="282.51770000000005"/>
        <s v="283.68375000000003"/>
        <s v="284.87585"/>
        <s v="286.01145"/>
        <s v="287.06815"/>
        <s v="288.13989999999995"/>
        <s v="289.2155"/>
        <s v="290.36084999999997"/>
        <s v="291.5049"/>
        <s v="292.5024"/>
        <s v="293.44155000000006"/>
        <s v="294.41295"/>
        <s v="295.38665000000003"/>
        <s v="296.37915000000004"/>
        <s v="297.34150000000005"/>
        <s v="298.32845000000003"/>
        <s v="299.2887"/>
        <s v="300.18655"/>
        <s v="301.0989"/>
        <s v="302.0192"/>
        <s v="302.95765000000006"/>
        <s v="303.97525"/>
        <s v="305.02075"/>
        <s v="306.04425000000003"/>
        <s v="307.05174999999997"/>
        <s v="308.07365000000004"/>
        <s v="309.094"/>
        <s v="310.0097"/>
        <s v="310.91920000000005"/>
        <s v="311.66385"/>
        <s v="312.20975000000004"/>
        <s v="312.83525000000003"/>
        <s v="313.46605000000005"/>
        <s v="314.10900000000004"/>
        <s v="314.78415"/>
        <s v="315.5365"/>
        <s v="316.15105000000005"/>
        <s v="316.75695"/>
        <s v="317.3976"/>
        <s v="318.03145"/>
        <s v="318.60314999999997"/>
        <s v="319.12949999999995"/>
        <s v="319.5373"/>
        <s v="319.9521"/>
        <s v="320.39644999999996"/>
        <s v="320.8401999999999"/>
        <s v="321.29869999999994"/>
        <s v="321.79215"/>
        <s v="322.2790999999999"/>
        <s v="322.80244999999996"/>
        <s v="323.35864999999995"/>
        <s v="323.84914999999995"/>
        <s v="324.35434999999995"/>
        <s v="324.85234999999994"/>
        <s v="325.31204999999994"/>
        <s v="325.7709999999999"/>
        <s v="326.2125999999999"/>
        <s v="326.6684499999999"/>
        <s v="327.1427999999999"/>
        <s v="327.6822999999999"/>
        <s v="328.25609999999995"/>
        <s v="328.8445999999999"/>
        <s v="329.50454999999994"/>
        <s v="330.19924999999995"/>
        <s v="330.88319999999993"/>
        <s v="331.6122499999999"/>
        <s v="332.38349999999997"/>
        <s v="333.16059999999993"/>
        <s v="333.90554999999995"/>
        <s v="334.6423499999999"/>
        <s v="335.4437999999999"/>
        <s v="336.24055"/>
        <s v="337.0743499999999"/>
        <s v="337.8827499999999"/>
        <s v="338.73789999999985"/>
        <s v="339.5889499999999"/>
        <s v="340.4227999999998"/>
        <s v="341.2366999999998"/>
        <s v="342.0523499999999"/>
        <s v="342.7940999999999"/>
        <s v="343.6492999999999"/>
        <s v="344.5404999999999"/>
        <s v="345.43954999999994"/>
        <s v="346.35699999999997"/>
        <s v="347.29364999999996"/>
        <s v="348.29329999999993"/>
        <s v="349.30355"/>
        <s v="350.25204999999994"/>
        <s v="351.1987499999999"/>
        <s v="352.15259999999995"/>
        <s v="353.08844999999997"/>
        <s v="354.05129999999997"/>
        <s v="354.98704999999995"/>
        <s v="355.8926999999999"/>
        <s v="356.81895"/>
        <s v="357.7295"/>
        <s v="358.66984999999994"/>
        <s v="359.60495"/>
        <s v="360.5041999999999"/>
        <s v="361.4002"/>
        <s v="362.2833499999999"/>
        <s v="363.1832499999999"/>
        <s v="364.10854999999987"/>
        <s v="365.00864999999993"/>
        <s v="365.88749999999993"/>
        <s v="366.80879999999996"/>
        <s v="367.75139999999993"/>
        <s v="368.70224999999994"/>
        <s v="369.6603999999999"/>
        <s v="370.60360000000003"/>
        <s v="371.55199999999996"/>
        <s v="372.50894999999997"/>
        <s v="373.4618"/>
        <s v="374.43705"/>
        <s v="375.38270000000006"/>
        <s v="376.33275000000003"/>
        <s v="377.2818"/>
        <s v="378.23024999999996"/>
        <s v="379.17484999999994"/>
        <s v="380.1277999999999"/>
        <s v="381.08159999999987"/>
        <s v="382.0467999999999"/>
        <s v="383.01144999999997"/>
        <s v="383.9676499999998"/>
        <s v="384.9337999999999"/>
        <s v="385.92744999999996"/>
        <s v="386.94765"/>
        <s v="387.98055"/>
        <s v="388.99945"/>
        <s v="390.0416"/>
        <s v="391.11490000000003"/>
        <s v="392.2162"/>
        <s v="393.28845000000007"/>
        <s v="394.27815000000004"/>
        <s v="395.3004"/>
        <s v="396.32835000000006"/>
        <s v="397.32875000000007"/>
        <s v="398.29085000000015"/>
        <s v="399.2264500000001"/>
        <s v="400.12235000000015"/>
        <s v="401.0290000000001"/>
        <s v="401.9734000000001"/>
        <s v="402.92835000000014"/>
        <s v="403.88300000000004"/>
        <s v="404.82630000000006"/>
        <s v="405.7301500000001"/>
        <s v="406.6012"/>
        <s v="407.42245"/>
        <s v="408.28255000000007"/>
        <s v="409.11105000000003"/>
        <s v="409.90770000000003"/>
        <s v="410.6531"/>
        <s v="411.31555000000003"/>
        <s v="411.98659999999995"/>
        <s v="412.6605"/>
        <s v="413.20340000000004"/>
        <s v="413.52130000000005"/>
        <s v="413.5126000000001"/>
        <s v="413.73255000000006"/>
        <s v="414.11645000000004"/>
        <s v="414.45550000000003"/>
        <s v="414.80975000000007"/>
        <s v="415.29335000000015"/>
        <s v="415.9518"/>
        <s v="416.99410000000006"/>
        <s v="418.0267"/>
        <s v="419.0377"/>
        <s v="420.03864999999996"/>
        <s v="421.08644999999996"/>
        <s v="422.27304999999996"/>
        <s v="423.4707499999999"/>
        <s v="424.6804499999999"/>
        <s v="425.9373999999999"/>
        <s v="427.2560499999999"/>
        <s v="428.5294999999998"/>
        <s v="429.8040999999999"/>
        <s v="431.0801999999998"/>
        <s v="432.39629999999977"/>
        <s v="433.9766499999998"/>
        <s v="435.70534999999984"/>
        <s v="437.3672499999998"/>
        <s v="439.0191499999996"/>
        <s v="440.9109499999998"/>
        <s v="442.7794499999997"/>
        <s v="444.7027499999997"/>
        <s v="446.70919999999967"/>
        <s v="448.65069999999963"/>
        <s v="450.26524999999964"/>
        <s v="451.6555499999997"/>
        <s v="452.6560999999997"/>
        <s v="453.9729999999997"/>
        <s v="455.3599999999996"/>
        <s v="456.48849999999965"/>
        <s v="457.6133499999996"/>
        <s v="458.68919999999963"/>
        <s v="459.7157499999996"/>
        <s v="460.8128999999997"/>
        <s v="461.9998499999996"/>
        <s v="463.1681499999997"/>
        <s v="464.2735499999996"/>
        <s v="465.3622999999996"/>
        <s v="466.43249999999966"/>
        <s v="467.4932999999996"/>
        <s v="468.4462499999996"/>
        <s v="469.49909999999966"/>
        <s v="470.5630499999997"/>
        <s v="471.5914499999996"/>
        <s v="472.5695999999996"/>
        <s v="473.5810499999996"/>
        <s v="474.74944999999957"/>
        <s v="475.9460499999995"/>
        <s v="477.1391999999996"/>
        <s v="478.3317499999996"/>
        <s v="479.5380999999996"/>
        <s v="480.7979499999996"/>
        <s v="481.9918499999996"/>
        <s v="483.16994999999974"/>
        <s v="484.33789999999965"/>
        <s v="485.48174999999975"/>
        <s v="486.58609999999976"/>
        <s v="487.7138999999997"/>
        <s v="488.75239999999974"/>
        <s v="489.7376499999998"/>
        <s v="490.74699999999973"/>
        <s v="491.7946999999998"/>
        <s v="492.84099999999984"/>
        <s v="493.8874499999999"/>
        <s v="494.91709999999983"/>
        <s v="495.8644999999999"/>
        <s v="496.8170999999999"/>
        <s v="497.71539999999993"/>
        <s v="498.66849999999994"/>
        <s v="499.62589999999994"/>
        <s v="500.59049999999996"/>
        <s v="501.59024999999997"/>
        <s v="502.48965"/>
        <s v="503.4784999999998"/>
        <s v="504.5086499999998"/>
        <s v="505.49449999999985"/>
        <s v="506.4614999999999"/>
        <s v="507.43804999999986"/>
        <s v="508.35959999999994"/>
        <s v="509.29434999999984"/>
        <s v="510.2817499999998"/>
        <s v="511.2682999999998"/>
        <s v="512.2529999999997"/>
        <s v="513.2683499999998"/>
        <s v="514.2858999999999"/>
        <s v="515.3240499999998"/>
        <s v="516.3486499999998"/>
        <s v="517.3374999999997"/>
        <s v="518.3570999999997"/>
        <s v="519.3485499999998"/>
        <s v="520.3524499999999"/>
        <s v="521.3514999999999"/>
        <s v="522.30865"/>
        <s v="523.28135"/>
        <s v="524.2502499999999"/>
        <s v="525.1755999999999"/>
        <s v="526.0430999999999"/>
        <s v="526.8894999999999"/>
        <s v="527.7640499999999"/>
        <s v="528.7031499999998"/>
        <s v="529.6303499999999"/>
        <s v="530.5713999999999"/>
        <s v="531.4807"/>
        <s v="532.39995"/>
        <s v="533.3353999999998"/>
        <s v="534.3121999999998"/>
        <s v="535.3057499999999"/>
        <s v="536.2248999999999"/>
        <s v="537.1475999999999"/>
        <s v="538.035"/>
        <s v="538.9344999999998"/>
        <s v="539.7957499999999"/>
        <s v="540.6601999999999"/>
        <s v="541.53975"/>
        <s v="542.47785"/>
        <s v="543.4166999999999"/>
        <s v="544.38495"/>
        <s v="545.3515499999999"/>
        <s v="546.2992999999999"/>
        <s v="547.24875"/>
        <s v="548.1900999999999"/>
        <s v="549.13125"/>
        <s v="550.0606"/>
        <s v="551.0135"/>
        <s v="551.97105"/>
        <s v="552.92545"/>
        <s v="553.90185"/>
        <s v="554.8725999999999"/>
        <s v="555.8233999999999"/>
        <s v="556.7956499999999"/>
        <s v="557.8027999999999"/>
        <s v="558.8024499999999"/>
        <s v="559.8220999999999"/>
        <s v="560.8268999999999"/>
        <s v="561.8208"/>
        <s v="562.814"/>
        <s v="563.8758499999999"/>
        <s v="564.96895"/>
        <s v="566.0453999999999"/>
        <s v="567.1159499999999"/>
        <s v="568.2176499999999"/>
        <s v="569.3462999999999"/>
        <s v="570.4571999999998"/>
        <s v="571.5628499999999"/>
        <s v="572.6302499999998"/>
        <s v="573.6802499999999"/>
        <s v="574.7428499999999"/>
        <s v="575.8407499999998"/>
        <s v="576.9928999999998"/>
        <s v="578.1485999999999"/>
        <s v="579.3156499999998"/>
        <s v="580.5516499999998"/>
        <s v="581.8623999999998"/>
        <s v="583.1898999999997"/>
        <s v="584.6037499999998"/>
        <s v="586.0170999999997"/>
        <s v="587.4047999999998"/>
        <s v="588.8799499999998"/>
        <s v="590.3624999999997"/>
        <s v="591.8450999999998"/>
        <s v="593.2092999999999"/>
        <s v="594.5782999999998"/>
        <s v="595.9443999999999"/>
        <s v="597.2632499999999"/>
        <s v="598.5838499999998"/>
        <s v="599.9823999999998"/>
        <s v="601.3046499999998"/>
        <s v="602.5999499999998"/>
        <s v="603.8391499999998"/>
        <s v="605.0342999999998"/>
        <s v="606.3305499999999"/>
        <s v="607.6401499999998"/>
        <s v="609.0108499999999"/>
        <s v="610.4842499999999"/>
        <s v="611.9813999999999"/>
        <s v="613.5066999999998"/>
        <s v="614.9967999999999"/>
        <s v="616.45565"/>
        <s v="617.9339500000001"/>
        <s v="619.38485"/>
        <s v="620.8272"/>
        <s v="622.2567999999999"/>
        <s v="623.692"/>
        <s v="625.0990499999998"/>
        <s v="626.5157499999998"/>
        <s v="627.91725"/>
        <s v="629.3376999999999"/>
        <s v="630.7952999999999"/>
        <s v="632.3567999999999"/>
        <s v="633.9143999999999"/>
        <s v="635.4734499999998"/>
        <s v="637.0122999999999"/>
        <s v="638.6036499999998"/>
        <s v="640.2091999999998"/>
        <s v="641.8490499999997"/>
        <s v="643.5047999999997"/>
        <s v="645.1515999999997"/>
        <s v="646.7531499999997"/>
        <s v="648.3827999999997"/>
        <s v="649.9398999999997"/>
        <s v="651.3719499999997"/>
        <s v="652.6571999999998"/>
        <s v="653.9044499999997"/>
        <s v="655.1775999999996"/>
        <s v="656.4615999999996"/>
        <s v="657.7438999999997"/>
        <s v="658.9259999999998"/>
        <s v="660.1491499999996"/>
        <s v="661.5544999999997"/>
        <s v="663.1479499999997"/>
        <s v="664.7534499999997"/>
        <s v="666.2495499999998"/>
        <s v="667.8679999999999"/>
        <s v="669.57385"/>
        <s v="671.4335999999998"/>
        <s v="673.0972999999998"/>
        <s v="674.4442499999999"/>
        <s v="675.8026999999997"/>
        <s v="677.2658999999999"/>
        <s v="678.6532"/>
        <s v="680.0560499999999"/>
        <s v="681.7279999999998"/>
        <s v="683.2368499999998"/>
        <s v="684.1854999999997"/>
        <s v="685.1436499999996"/>
        <s v="686.4779999999996"/>
        <s v="688.0049999999997"/>
        <s v="689.2661499999996"/>
        <s v="690.1569499999996"/>
        <s v="690.8838499999997"/>
        <s v="691.7354999999998"/>
        <s v="692.6472499999999"/>
        <s v="693.5640999999997"/>
        <s v="694.4461499999998"/>
        <s v="695.4584499999997"/>
        <s v="696.4540499999998"/>
        <s v="697.5471499999999"/>
        <s v="698.6740499999999"/>
        <s v="699.9000499999999"/>
        <s v="701.1504499999999"/>
        <s v="702.5451999999999"/>
        <s v="703.8598999999998"/>
        <s v="705.0938999999997"/>
        <s v="706.4071499999997"/>
        <s v="707.7512499999997"/>
        <s v="709.0699499999998"/>
        <s v="710.3555999999999"/>
        <s v="711.6734999999999"/>
        <s v="713.0721999999998"/>
        <s v="714.6282999999999"/>
        <s v="716.2524999999997"/>
        <s v="717.9738999999998"/>
        <s v="719.7562999999999"/>
        <s v="721.5736499999999"/>
        <s v="723.4339"/>
        <s v="725.3992000000002"/>
        <s v="727.4447500000002"/>
        <s v="729.3194000000002"/>
        <s v="730.9049000000002"/>
        <s v="732.6481500000002"/>
        <s v="734.3779000000002"/>
        <s v="736.0658500000002"/>
        <s v="737.7821500000001"/>
        <s v="739.5192500000002"/>
        <s v="741.4389000000001"/>
        <s v="743.5297000000002"/>
        <s v="745.8437000000001"/>
        <s v="748.3390500000002"/>
        <s v="750.7281500000001"/>
        <s v="753.3145500000003"/>
        <s v="755.9841000000004"/>
        <s v="758.7089500000003"/>
        <s v="761.6087000000002"/>
        <s v="764.4408000000002"/>
        <s v="767.2290500000001"/>
        <s v="770.11585"/>
        <s v="773.0578"/>
        <s v="776.07425"/>
        <s v="779.2917"/>
        <s v="782.71935"/>
        <s v="786.14255"/>
        <s v="789.48625"/>
        <s v="792.91685"/>
        <s v="796.2220000000001"/>
        <s v="799.25015"/>
        <s v="802.1706499999999"/>
        <s v="805.2152999999998"/>
        <s v="808.1062"/>
        <s v="811.1477"/>
        <s v="814.36255"/>
        <s v="817.6353000000001"/>
        <s v="821.0311000000002"/>
        <s v="824.3031500000001"/>
        <s v="827.1400500000001"/>
        <s v="829.4905500000001"/>
        <s v="831.7039500000001"/>
        <s v="834.0586500000002"/>
        <s v="836.6374000000001"/>
        <s v="839.0580500000001"/>
        <s v="841.26165"/>
        <s v="843.2215500000001"/>
        <s v="844.8534000000001"/>
        <s v="846.6616500000001"/>
        <s v="848.55555"/>
        <s v="850.6414500000001"/>
        <s v="852.6863000000001"/>
        <s v="854.71675"/>
        <s v="856.8994500000002"/>
        <s v="859.1983000000001"/>
        <s v="861.5229500000002"/>
        <s v="864.11955"/>
        <s v="866.8021000000001"/>
        <s v="869.42125"/>
        <s v="872.20645"/>
        <s v="875.1089000000002"/>
        <s v="878.0013500000002"/>
        <s v="880.9704500000003"/>
        <s v="884.0214500000002"/>
        <s v="887.0928500000002"/>
        <s v="890.1737000000003"/>
        <s v="893.1257"/>
        <s v="896.0362000000001"/>
        <s v="898.94725"/>
        <s v="901.8551500000001"/>
        <s v="904.79425"/>
        <s v="907.8609000000001"/>
        <s v="910.8524000000001"/>
        <s v="913.91845"/>
        <s v="917.0783500000001"/>
        <s v="920.2258999999999"/>
        <s v="923.3745500000001"/>
        <s v="926.5522000000002"/>
        <s v="929.8110499999999"/>
        <s v="933.1500500000001"/>
        <s v="936.5939"/>
        <s v="940.06205"/>
        <s v="943.5604"/>
        <s v="947.0188"/>
        <s v="950.72035"/>
        <s v="954.72455"/>
        <s v="958.86095"/>
        <s v="963.3613500000001"/>
        <s v="967.9845"/>
        <s v="972.5288"/>
        <s v="977.1187999999999"/>
        <s v="982.0114499999999"/>
        <s v="987.3910000000001"/>
        <s v="992.89485"/>
        <s v="998.7453999999999"/>
        <s v="1004.3636499999999"/>
        <s v="1009.6806"/>
        <s v="1015.30355"/>
        <s v="1020.6392"/>
        <s v="1025.8835"/>
        <s v="1031.40625"/>
        <s v="1037.08505"/>
        <s v="1043.1987"/>
        <s v="1049.5014"/>
        <s v="1056.0203"/>
        <s v="1063.01345"/>
        <s v="1070.4931"/>
        <s v="1078.8076999999998"/>
        <s v="1088.0376999999999"/>
        <s v="1096.4721499999998"/>
        <s v="1103.3744"/>
        <s v="1110.6175999999998"/>
        <s v="1118.1896499999998"/>
        <s v="1125.9977"/>
        <s v="1133.6948499999999"/>
        <s v="1142.1377499999999"/>
        <s v="1150.7441499999998"/>
        <s v="1159.7689499999997"/>
        <s v="1168.7606999999998"/>
        <s v="1177.9917499999997"/>
        <s v="1188.39165"/>
        <s v="1198.7124"/>
        <s v="1208.76785"/>
        <s v="1219.172"/>
        <s v="1229.6852000000001"/>
        <s v="1240.4090499999998"/>
        <s v="1250.6608499999998"/>
        <s v="1260.5068499999998"/>
        <s v="1270.1256499999995"/>
        <s v="1278.3303999999996"/>
        <s v="1286.9553999999998"/>
        <s v="1296.0653499999999"/>
        <s v="1305.1897499999998"/>
        <s v="1314.1844499999997"/>
        <s v="1323.5676999999998"/>
        <s v="1333.2237"/>
        <s v="1342.74775"/>
        <s v="1352.4754"/>
        <s v="1361.9579999999999"/>
        <s v="1370.94555"/>
        <s v="1379.3475999999998"/>
        <s v="1387.4525"/>
        <s v="1396.2073"/>
        <s v="1405.1247499999997"/>
        <s v="1413.81885"/>
        <s v="1422.18805"/>
        <s v="1430.48565"/>
        <s v="1439.1836500000002"/>
        <s v="1448.2447500000003"/>
        <s v="1457.1670500000005"/>
        <s v="1466.1992000000007"/>
        <s v="1474.9660500000007"/>
        <s v="1483.5730000000005"/>
        <s v="1492.1940000000004"/>
        <s v="1500.1825000000003"/>
        <s v="1507.3853500000002"/>
        <s v="1514.5809000000002"/>
        <s v="1522.0265000000006"/>
        <s v="1528.9039500000006"/>
        <s v="1534.6867500000005"/>
        <s v="1539.5672000000006"/>
        <s v="1544.9745000000005"/>
        <s v="1551.5654500000005"/>
        <s v="1558.33885"/>
        <s v="1565.8679000000004"/>
        <s v="1574.35265"/>
        <s v="1583.0646000000002"/>
        <s v="1591.4773500000001"/>
        <s v="1599.9537499999997"/>
        <s v="1608.37555"/>
        <s v="1616.53075"/>
        <s v="1624.8069999999998"/>
        <s v="1634.0328999999997"/>
        <s v="1643.1327499999998"/>
        <s v="1652.3965499999997"/>
        <s v="1662.38485"/>
        <s v="1672.3059499999997"/>
        <s v="1681.7699999999998"/>
        <s v="1691.4580499999997"/>
        <s v="1701.4591499999995"/>
        <s v="1712.7540499999998"/>
        <s v="1724.4252499999993"/>
        <s v="1736.4559999999992"/>
        <s v="1749.0791499999991"/>
        <s v="1761.264849999999"/>
        <s v="1773.662399999999"/>
        <s v="1786.665899999999"/>
        <s v="1801.0381499999992"/>
        <s v="1816.7284999999995"/>
        <s v="1833.1069999999993"/>
        <s v="1849.4393499999992"/>
        <s v="1865.734899999999"/>
        <s v="1882.9174499999995"/>
        <s v="1899.4885499999991"/>
        <s v="1915.229299999999"/>
        <s v="1930.879949999999"/>
        <s v="1946.085549999999"/>
        <s v="1960.6547999999993"/>
        <s v="1976.3056999999992"/>
        <s v="1992.162599999999"/>
        <s v="2008.8353499999992"/>
        <s v="2025.202349999999"/>
        <s v="2041.639549999999"/>
        <s v="2058.070299999999"/>
        <s v="2075.5586999999987"/>
        <s v="2093.484349999999"/>
        <s v="2111.935799999999"/>
        <s v="2131.120499999999"/>
        <s v="2149.572249999999"/>
        <s v="2167.578499999999"/>
        <s v="2184.5059499999993"/>
        <s v="2200.89335"/>
        <s v="2218.4679999999994"/>
        <s v="2236.25335"/>
        <s v="2253.5136499999994"/>
        <s v="2269.6892999999995"/>
        <s v="2285.2540499999996"/>
        <s v="2300.7622999999994"/>
        <s v="2316.3004499999997"/>
        <s v="2330.2263999999996"/>
        <s v="2342.6600499999995"/>
        <s v="2353.961799999999"/>
        <s v="2366.7919999999995"/>
        <s v="2379.1678999999995"/>
        <s v="2392.8610499999995"/>
        <s v="2406.4569499999993"/>
        <s v="2419.9042999999997"/>
        <s v="2432.6455999999994"/>
        <s v="2444.4724999999994"/>
        <s v="2456.9116499999996"/>
        <s v="2469.5010999999995"/>
        <s v="2482.8033499999997"/>
        <s v="2496.4447499999997"/>
        <s v="2510.8153999999995"/>
        <s v="2525.818399999999"/>
        <s v="2540.50445"/>
        <s v="2555.7693499999996"/>
        <s v="2571.08645"/>
        <s v="2587.01815"/>
        <s v="2602.9046499999995"/>
        <s v="2618.96605"/>
        <s v="2635.1848"/>
        <s v="2651.770499999999"/>
        <s v="2668.107849999999"/>
        <s v="2685.2833499999997"/>
        <s v="2703.3070499999994"/>
        <s v="2722.4262"/>
        <s v="2741.7399"/>
        <s v="2762.4558"/>
        <s v="2785.5761500000003"/>
        <s v="2808.73455"/>
        <s v="2831.6909"/>
        <s v="2854.92075"/>
        <s v="2877.8234000000007"/>
        <s v="2899.519200000001"/>
        <s v="2922.399500000001"/>
        <s v="2945.676150000001"/>
        <s v="2970.314100000001"/>
        <s v="2994.236550000001"/>
        <s v="3017.8131500000004"/>
        <s v="3040.18895"/>
        <s v="3062.03055"/>
        <s v="3085.2161499999997"/>
        <s v="3108.3180500000003"/>
        <s v="3131.03185"/>
        <s v="3154.3250000000007"/>
        <s v="3178.9796"/>
        <s v="3204.28115"/>
        <s v="3230.9707"/>
        <s v="3259.9032999999995"/>
        <s v="3290.1743499999993"/>
        <s v="3320.4304999999995"/>
        <s v="3351.738699999999"/>
        <s v="3381.927749999999"/>
        <s v="3411.395999999999"/>
        <s v="3442.1341999999986"/>
        <s v="3472.2018999999987"/>
        <s v="3500.7372499999988"/>
        <s v="3527.101399999999"/>
        <s v="3551.113299999999"/>
        <s v="3576.2534499999992"/>
        <s v="3602.630749999999"/>
        <s v="3631.1934999999994"/>
        <s v="3661.8836999999994"/>
        <s v="3694.1892499999994"/>
        <s v="3725.5146999999993"/>
        <s v="3757.3432999999995"/>
        <s v="3790.2120499999996"/>
        <s v="3823.3291999999997"/>
        <s v="3856.68745"/>
        <s v="3889.9127499999995"/>
        <s v="3922.81325"/>
        <s v="3956.68545"/>
        <s v="3993.30235"/>
        <s v="4032.2664"/>
        <s v="4072.7369"/>
        <s v="4116.4145"/>
        <s v="4157.195"/>
        <s v="4199.6101"/>
        <s v="4245.80735"/>
        <s v="4293.2882500000005"/>
        <s v="4341.00635"/>
        <s v="4389.96885"/>
        <s v="4443.51075"/>
        <s v="4508.4812"/>
        <s v="4576.382049999999"/>
        <s v="4640.83155"/>
        <s v="4701.00885"/>
        <s v="4770.54785"/>
        <s v="4843.12005"/>
        <s v="4914.463100000001"/>
        <s v="4985.939550000001"/>
        <s v="5062.824400000001"/>
        <s v="5141.8080500000015"/>
        <s v="5226.891650000001"/>
        <s v="5308.577050000001"/>
        <s v="5387.456650000002"/>
        <s v="5458.8074000000015"/>
        <s v="5528.826850000001"/>
        <s v="5584.139200000001"/>
        <s v="5644.486150000001"/>
        <s v="5697.968150000001"/>
        <s v="5754.213800000001"/>
        <s v="5816.572150000001"/>
        <s v="5880.938200000001"/>
        <s v="5937.666150000002"/>
        <s v="5996.704700000002"/>
        <s v="6049.636050000002"/>
        <s v="6102.316350000003"/>
        <s v="6157.917900000003"/>
        <s v="6214.611850000003"/>
        <s v="6277.106450000005"/>
        <s v="6338.998650000005"/>
        <s v="6406.2239000000045"/>
        <s v="6476.380300000003"/>
        <s v="6545.671350000003"/>
        <s v="6609.090050000004"/>
        <s v="6669.9660500000045"/>
        <s v="6727.789250000005"/>
        <s v="6783.2806000000055"/>
        <s v="6839.443600000006"/>
        <s v="6898.815650000005"/>
        <s v="6954.281100000006"/>
        <s v="7010.638000000006"/>
        <s v="7057.9205000000065"/>
        <s v="7099.3852500000075"/>
        <s v="7144.813750000007"/>
        <s v="7189.6503000000075"/>
        <s v="7239.4790000000075"/>
        <s v="7286.279100000007"/>
        <s v="7330.2296500000075"/>
        <s v="7371.189750000007"/>
        <s v="7413.820900000007"/>
        <s v="7457.6044000000065"/>
        <s v="7500.421500000006"/>
        <s v="7544.695350000006"/>
        <s v="7591.424550000007"/>
        <s v="7635.941700000007"/>
        <s v="7679.060350000006"/>
        <s v="7718.8971000000065"/>
        <s v="7756.948700000005"/>
        <s v="7790.112300000007"/>
        <s v="7823.116700000008"/>
        <s v="7855.505200000006"/>
        <s v="7881.829650000007"/>
        <s v="7902.114450000006"/>
        <s v="7928.747650000006"/>
        <s v="7956.024050000006"/>
        <s v="7983.746200000006"/>
        <s v="8014.178650000005"/>
        <s v="8043.147700000006"/>
        <s v="8073.940300000006"/>
        <s v="8103.567250000006"/>
        <s v="8134.572050000006"/>
        <s v="8169.876050000005"/>
        <s v="8206.453400000006"/>
        <s v="8246.327800000006"/>
        <s v="8286.877800000006"/>
        <s v="8327.963250000006"/>
        <s v="8371.720650000007"/>
        <s v="8411.262950000006"/>
        <s v="8446.671250000005"/>
        <s v="8481.050300000004"/>
        <s v="8513.474850000004"/>
        <s v="8545.198250000005"/>
        <s v="8577.114900000006"/>
        <s v="8613.036150000005"/>
        <s v="8647.527650000005"/>
        <s v="8681.055400000005"/>
        <s v="8715.281350000005"/>
        <s v="8751.288050000005"/>
        <s v="8786.649950000005"/>
        <s v="8822.531700000005"/>
        <s v="8856.490050000004"/>
        <s v="8889.120250000002"/>
        <s v="8917.906050000001"/>
        <s v="8942.124400000004"/>
        <s v="8969.323450000004"/>
        <s v="8994.368600000003"/>
        <s v="9021.317800000004"/>
        <s v="9045.417400000004"/>
        <s v="9067.797450000004"/>
        <s v="9087.092200000003"/>
        <s v="9106.846350000003"/>
        <s v="9125.351500000002"/>
        <s v="9140.838550000002"/>
        <s v="9159.233500000004"/>
        <s v="9177.985850000003"/>
        <s v="9199.552150000005"/>
        <s v="9220.240350000004"/>
        <s v="9240.898650000003"/>
        <s v="9263.960550000003"/>
        <s v="9284.029650000004"/>
        <s v="9302.072500000004"/>
        <s v="9319.449900000005"/>
        <s v="9337.537500000004"/>
        <s v="9354.234200000004"/>
        <s v="9367.569700000004"/>
        <s v="9381.541450000004"/>
        <s v="9396.091650000004"/>
        <s v="9413.018000000004"/>
        <s v="9432.823550000003"/>
        <s v="9449.609500000002"/>
        <s v="9465.259800000003"/>
        <s v="9478.610800000004"/>
        <s v="9493.123450000005"/>
        <s v="9508.385150000006"/>
        <s v="9523.355750000004"/>
        <s v="9539.104300000005"/>
        <s v="9554.781550000003"/>
        <s v="9574.286800000003"/>
        <s v="9595.400350000004"/>
        <s v="9615.740700000002"/>
        <s v="9636.859850000003"/>
        <s v="9656.167050000002"/>
        <s v="9675.675650000001"/>
        <s v="9694.678600000003"/>
        <s v="9714.24515"/>
        <s v="9734.6409"/>
        <s v="9757.06905"/>
        <s v="9780.1851"/>
        <s v="9803.355950000001"/>
        <s v="9827.9999"/>
        <s v="9851.9764"/>
        <s v="9873.8541"/>
        <s v="9896.85025"/>
        <s v="9919.121"/>
        <s v="9941.8464"/>
        <s v="9962.6335"/>
        <s v="9979.56065"/>
        <s v="9996.87245"/>
        <s v="10015.11795"/>
        <s v="10035.0179"/>
        <s v="10056.0542"/>
        <s v="10077.01515"/>
        <s v="10095.58855"/>
        <s v="10112.944650000001"/>
        <s v="10128.65315"/>
        <s v="10145.7933"/>
        <s v="10159.609199999999"/>
        <s v="10173.53005"/>
        <s v="10188.60365"/>
        <s v="10202.82815"/>
        <s v="10217.213649999998"/>
        <s v="10230.017999999998"/>
        <s v="10242.2352"/>
        <s v="10252.247799999997"/>
        <s v="10262.264899999998"/>
        <s v="10271.3422"/>
        <s v="10278.908399999997"/>
        <s v="10283.996849999998"/>
        <s v="10287.122499999996"/>
        <s v="10287.716549999997"/>
        <s v="10288.773399999998"/>
        <s v="10290.805449999996"/>
        <s v="10290.556099999998"/>
        <s v="10290.497949999997"/>
        <s v="10292.796349999997"/>
        <s v="10297.561899999997"/>
        <s v="10304.879499999997"/>
        <s v="10310.728149999997"/>
        <s v="10315.988349999996"/>
        <s v="10319.332649999997"/>
        <s v="10319.798799999997"/>
        <s v="10318.091999999997"/>
        <s v="10317.660399999999"/>
        <s v="10317.007499999998"/>
        <s v="10314.658999999998"/>
        <s v="10311.895199999997"/>
        <s v="10307.084649999997"/>
        <s v="10300.053399999997"/>
        <s v="10293.374699999997"/>
        <s v="10283.385549999995"/>
        <s v="10270.658499999996"/>
        <s v="10255.523099999997"/>
        <s v="10238.690749999996"/>
        <s v="10219.163049999996"/>
        <s v="10201.856899999995"/>
        <s v="10184.416649999996"/>
        <s v="10162.890199999996"/>
        <s v="10140.036049999997"/>
        <s v="10114.900899999997"/>
        <s v="10087.002549999996"/>
        <s v="10053.339949999996"/>
        <s v="10009.122149999996"/>
        <s v="9961.668049999997"/>
        <s v="9916.795499999997"/>
        <s v="9875.360399999996"/>
        <s v="9822.584899999998"/>
        <s v="9769.969249999998"/>
        <s v="9720.039249999996"/>
        <s v="9669.538149999997"/>
        <s v="9614.574399999998"/>
        <s v="9556.850549999996"/>
        <s v="9493.834599999996"/>
        <s v="9433.354849999996"/>
        <s v="9375.529699999996"/>
        <s v="9325.720949999995"/>
        <s v="9276.934049999994"/>
        <s v="9240.704599999994"/>
        <s v="9198.189399999992"/>
        <s v="9161.622249999991"/>
        <s v="9122.889349999994"/>
        <s v="9077.760249999994"/>
        <s v="9030.823399999992"/>
        <s v="8992.799049999992"/>
        <s v="8953.401149999992"/>
        <s v="8923.642699999993"/>
        <s v="8894.623849999993"/>
        <s v="8864.372099999993"/>
        <s v="8832.116149999994"/>
        <s v="8794.037099999996"/>
        <s v="8757.760949999998"/>
        <s v="8718.662249999998"/>
        <s v="8676.216499999999"/>
        <s v="8634.562349999998"/>
        <s v="8597.499699999997"/>
        <s v="8564.009649999998"/>
        <s v="8533.905549999998"/>
        <s v="8506.355749999997"/>
        <s v="8477.830899999997"/>
        <s v="8444.438799999998"/>
        <s v="8414.292849999996"/>
        <s v="8382.243899999996"/>
        <s v="8359.438599999996"/>
        <s v="8340.863249999997"/>
        <s v="8318.203999999996"/>
        <s v="8296.037099999996"/>
        <s v="8265.805599999998"/>
        <s v="8238.022449999997"/>
        <s v="8213.36365"/>
        <s v="8190.447599999999"/>
        <s v="8166.9473499999995"/>
        <s v="8142.2282000000005"/>
        <s v="8117.480600000001"/>
        <s v="8093.3639"/>
        <s v="8066.718349999998"/>
        <s v="8042.836499999999"/>
        <s v="8020.8539"/>
        <s v="8002.672100000001"/>
        <s v="7987.33665"/>
        <s v="7976.11875"/>
        <s v="7965.09175"/>
        <s v="7953.37125"/>
        <s v="7947.389"/>
        <s v="7947.1888500000005"/>
        <s v="7940.2108"/>
        <s v="7932.77435"/>
        <s v="7926.39925"/>
        <s v="7918.147400000001"/>
        <s v="7911.3586"/>
        <s v="7902.57465"/>
        <s v="7894.5696499999995"/>
        <s v="7886.17875"/>
        <s v="7873.674400000001"/>
        <s v="7859.923449999999"/>
        <s v="7841.2587"/>
        <s v="7819.3878"/>
        <s v="7796.925449999998"/>
        <s v="7771.424399999998"/>
        <s v="7748.184399999999"/>
        <s v="7728.279999999999"/>
        <s v="7709.050899999998"/>
        <s v="7691.049100000001"/>
        <s v="7674.878450000001"/>
        <s v="7658.489650000002"/>
        <s v="7637.595750000002"/>
        <s v="7616.687950000001"/>
        <s v="7595.352000000003"/>
        <s v="7571.733100000004"/>
        <s v="7546.573750000002"/>
        <s v="7522.432150000002"/>
        <s v="7498.298900000002"/>
        <s v="7476.724750000002"/>
        <s v="7457.190550000002"/>
        <s v="7441.0356"/>
        <s v="7428.802950000001"/>
        <s v="7414.386350000002"/>
        <s v="7401.130900000002"/>
        <s v="7386.489600000002"/>
        <s v="7373.408700000001"/>
        <s v="7362.390250000001"/>
        <s v="7354.354100000001"/>
        <s v="7345.882150000002"/>
        <s v="7337.4767"/>
        <s v="7331.966050000002"/>
        <s v="7322.998850000003"/>
        <s v="7313.086000000001"/>
        <s v="7300.989800000001"/>
        <s v="7290.457450000003"/>
        <s v="7280.940150000001"/>
        <s v="7269.158250000002"/>
        <s v="7257.669900000001"/>
        <s v="7248.039800000001"/>
        <s v="7239.539300000003"/>
        <s v="7231.394850000002"/>
        <s v="7226.614150000003"/>
        <s v="7225.027700000002"/>
        <s v="7222.396250000002"/>
        <s v="7220.817850000001"/>
        <s v="7218.019350000003"/>
        <s v="7213.424550000002"/>
        <s v="7210.509000000002"/>
        <s v="7208.94685"/>
        <s v="7208.137200000001"/>
        <s v="7206.2192000000005"/>
        <s v="7203.60025"/>
        <s v="7202.01815"/>
        <s v="7200.5301500000005"/>
        <s v="7198.6066"/>
        <s v="7192.6425"/>
        <s v="7184.0644"/>
        <s v="7175.75315"/>
        <s v="7166.378449999998"/>
        <s v="7157.968249999997"/>
        <s v="7149.501549999997"/>
        <s v="7140.841349999998"/>
        <s v="7131.860099999998"/>
        <s v="7121.565349999998"/>
        <s v="7110.199149999997"/>
        <s v="7098.207799999998"/>
        <s v="7085.755549999997"/>
        <s v="7071.354349999995"/>
        <s v="7057.561749999996"/>
        <s v="7045.214349999995"/>
        <s v="7030.813399999995"/>
        <s v="7015.8622499999965"/>
        <s v="6997.148749999997"/>
        <s v="6978.7723499999975"/>
        <s v="6961.435549999996"/>
        <s v="6943.771349999995"/>
        <s v="6923.934249999995"/>
        <s v="6898.647249999994"/>
        <s v="6872.020749999996"/>
        <s v="6846.586399999996"/>
        <s v="6821.271549999996"/>
        <s v="6796.577899999997"/>
        <s v="6769.552699999997"/>
        <s v="6742.677999999997"/>
        <s v="6718.188399999997"/>
        <s v="6696.212499999997"/>
        <s v="6674.617099999996"/>
        <s v="6651.4705499999955"/>
        <s v="6628.799949999995"/>
        <s v="6608.028899999996"/>
        <s v="6586.455499999997"/>
        <s v="6565.665549999996"/>
        <s v="6543.809199999994"/>
        <s v="6520.918349999996"/>
        <s v="6495.574649999996"/>
        <s v="6471.413099999996"/>
        <s v="6449.482649999995"/>
        <s v="6429.291049999996"/>
        <s v="6409.092749999997"/>
        <s v="6388.760049999998"/>
        <s v="6369.192199999999"/>
        <s v="6349.476399999998"/>
        <s v="6328.571749999998"/>
        <s v="6307.474649999998"/>
        <s v="6286.578149999999"/>
        <s v="6266.797699999999"/>
        <s v="6247.501249999998"/>
        <s v="6229.295999999999"/>
        <s v="6211.729700000001"/>
        <s v="6193.752"/>
        <s v="6175.8116500000015"/>
        <s v="6158.242300000002"/>
        <s v="6139.096950000002"/>
        <s v="6120.027250000002"/>
        <s v="6102.719500000002"/>
        <s v="6087.115000000002"/>
        <s v="6072.471750000001"/>
        <s v="6059.349700000001"/>
        <s v="6045.766900000001"/>
        <s v="6031.556800000002"/>
        <s v="6018.271250000002"/>
        <s v="6004.953450000001"/>
        <s v="5991.67525"/>
        <s v="5977.3103"/>
        <s v="5963.2456"/>
        <s v="5949.764850000001"/>
        <s v="5938.140500000001"/>
        <s v="5927.665150000002"/>
        <s v="5916.986350000004"/>
        <s v="5904.519050000003"/>
        <s v="5891.782150000002"/>
        <s v="5879.512250000003"/>
        <s v="5866.877150000003"/>
        <s v="5855.736300000002"/>
        <s v="5842.055300000002"/>
        <s v="5828.38665"/>
        <s v="5814.827300000001"/>
        <s v="5800.4162"/>
        <s v="5786.016"/>
        <s v="5770.586699999999"/>
        <s v="5755.345449999998"/>
        <s v="5740.174949999998"/>
        <s v="5723.980499999998"/>
        <s v="5708.088299999998"/>
        <s v="5694.0886999999975"/>
        <s v="5680.092149999999"/>
        <s v="5666.443649999998"/>
        <s v="5652.385849999999"/>
        <s v="5638.437099999997"/>
        <s v="5624.083399999996"/>
        <s v="5608.280499999996"/>
        <s v="5592.066499999995"/>
        <s v="5572.698849999995"/>
        <s v="5553.0115499999965"/>
        <s v="5533.081999999998"/>
        <s v="5513.400049999997"/>
        <s v="5493.258699999997"/>
        <s v="5472.053549999998"/>
        <s v="5449.491399999996"/>
        <s v="5426.824399999999"/>
        <s v="5403.958299999998"/>
        <s v="5382.406899999998"/>
        <s v="5359.6505499999985"/>
        <s v="5336.765599999997"/>
        <s v="5314.135699999998"/>
        <s v="5292.416649999998"/>
        <s v="5272.6318999999985"/>
        <s v="5253.4652499999975"/>
        <s v="5236.090899999997"/>
        <s v="5218.872799999997"/>
        <s v="5203.478299999997"/>
        <s v="5188.410349999997"/>
        <s v="5173.084749999997"/>
        <s v="5161.275899999997"/>
        <s v="5148.6021999999975"/>
        <s v="5135.610249999997"/>
        <s v="5124.115699999998"/>
        <s v="5111.705749999997"/>
        <s v="5099.274099999998"/>
        <s v="5088.229949999997"/>
        <s v="5075.666699999998"/>
        <s v="5062.705149999998"/>
        <s v="5049.152699999997"/>
        <s v="5036.107399999997"/>
        <s v="5023.655249999997"/>
        <s v="5010.892349999997"/>
        <s v="4998.414899999997"/>
        <s v="4984.764599999998"/>
        <s v="4972.099149999997"/>
        <s v="4958.8807499999975"/>
        <s v="4944.763549999998"/>
        <s v="4930.818999999998"/>
        <s v="4916.863349999997"/>
        <s v="4901.964649999997"/>
        <s v="4886.802249999998"/>
        <s v="4872.222249999997"/>
        <s v="4857.599449999998"/>
        <s v="4842.497999999998"/>
        <s v="4826.632899999998"/>
        <s v="4810.467599999998"/>
        <s v="4793.855699999998"/>
        <s v="4778.777399999998"/>
        <s v="4766.5877999999975"/>
        <s v="4753.986799999998"/>
        <s v="4741.902699999998"/>
        <s v="4730.278349999999"/>
        <s v="4719.104499999999"/>
        <s v="4707.931599999998"/>
        <s v="4696.905699999998"/>
        <s v="4685.259099999998"/>
        <s v="4676.326649999999"/>
        <s v="4668.727399999998"/>
        <s v="4661.243599999998"/>
        <s v="4653.861699999998"/>
        <s v="4647.448449999998"/>
        <s v="4641.438899999998"/>
        <s v="4635.515899999998"/>
        <s v="4628.082549999997"/>
        <s v="4620.8229999999985"/>
        <s v="4612.661049999998"/>
        <s v="4604.863749999998"/>
        <s v="4598.169499999998"/>
        <s v="4591.187199999998"/>
        <s v="4584.458899999997"/>
        <s v="4576.612849999998"/>
        <s v="4569.955549999998"/>
        <s v="4563.390749999998"/>
        <s v="4556.753749999998"/>
        <s v="4550.5511499999975"/>
        <s v="4544.573499999998"/>
        <s v="4538.287949999998"/>
        <s v="4533.308399999998"/>
        <s v="4527.764399999998"/>
        <s v="4522.239149999998"/>
        <s v="4515.465299999997"/>
        <s v="4508.6151999999975"/>
        <s v="4502.177949999997"/>
        <s v="4497.039349999997"/>
        <s v="4492.027749999997"/>
        <s v="4487.535249999996"/>
        <s v="4483.253049999997"/>
        <s v="4479.056099999996"/>
        <s v="4475.144599999996"/>
        <s v="4471.334299999996"/>
        <s v="4467.226649999996"/>
        <s v="4464.565299999997"/>
        <s v="4461.701349999996"/>
        <s v="4459.528199999997"/>
        <s v="4458.657399999997"/>
        <s v="4460.291049999997"/>
        <s v="4463.558199999997"/>
        <s v="4467.715699999998"/>
        <s v="4475.298999999997"/>
        <s v="4483.0053499999985"/>
        <s v="4490.411899999998"/>
        <s v="4494.716749999999"/>
        <s v="4499.681499999999"/>
        <s v="4507.77565"/>
        <s v="4515.4019499999995"/>
        <s v="4523.25195"/>
        <s v="4531.0452"/>
        <s v="4537.648749999999"/>
        <s v="4545.4367"/>
        <s v="4553.45355"/>
        <s v="4560.8405999999995"/>
        <s v="4572.1906500000005"/>
        <s v="4583.7401"/>
        <s v="4595.0283500000005"/>
        <s v="4606.580400000001"/>
        <s v="4616.388800000001"/>
        <s v="4627.350850000001"/>
        <s v="4639.428450000001"/>
        <s v="4654.17265"/>
        <s v="4666.027300000001"/>
        <s v="4677.377700000001"/>
        <s v="4688.459100000001"/>
        <s v="4701.796050000001"/>
        <s v="4718.643250000001"/>
        <s v="4735.575500000001"/>
        <s v="4752.69645"/>
        <s v="4770.859650000001"/>
        <s v="4789.311700000002"/>
        <s v="4810.974000000001"/>
        <s v="4832.647000000001"/>
        <s v="4857.333300000001"/>
        <s v="4882.4619"/>
        <s v="4907.490200000001"/>
        <s v="4933.161300000001"/>
        <s v="4958.067450000001"/>
        <s v="4983.773100000001"/>
        <s v="5012.812250000001"/>
        <s v="5046.6221000000005"/>
        <s v="5080.96025"/>
        <s v="5116.5742"/>
        <s v="5156.17975"/>
        <s v="5202.270850000001"/>
        <s v="5243.9141"/>
        <s v="5285.39915"/>
        <s v="5327.879300000001"/>
        <s v="5368.489300000002"/>
        <s v="5406.071600000001"/>
        <s v="5441.154050000001"/>
        <s v="5481.550450000002"/>
        <s v="5524.115600000001"/>
        <s v="5563.202950000001"/>
        <s v="5602.356450000001"/>
        <s v="5639.757950000002"/>
        <s v="5678.713500000002"/>
        <s v="5721.235150000001"/>
        <s v="5766.152850000001"/>
        <s v="5804.095250000001"/>
        <s v="5841.3677000000025"/>
        <s v="5879.437950000001"/>
        <s v="5914.145800000001"/>
        <s v="5946.929650000001"/>
        <s v="5981.971350000002"/>
        <s v="6010.208350000001"/>
        <s v="6040.2035000000005"/>
        <s v="6073.6342"/>
        <s v="6107.89485"/>
        <s v="6141.634599999999"/>
        <s v="6174.79965"/>
        <s v="6206.064299999999"/>
        <s v="6235.2958"/>
        <s v="6266.405849999999"/>
        <s v="6295.239449999999"/>
        <s v="6322.6846"/>
        <s v="6350.1041"/>
        <s v="6378.7266"/>
        <s v="6408.080850000001"/>
        <s v="6438.7128"/>
        <s v="6470.573"/>
        <s v="6505.0329"/>
        <s v="6540.644750000001"/>
        <s v="6576.5076"/>
        <s v="6616.991749999999"/>
        <s v="6657.3321"/>
        <s v="6696.973099999999"/>
        <s v="6737.9024"/>
        <s v="6779.2029999999995"/>
        <s v="6818.628799999999"/>
        <s v="6857.5884"/>
        <s v="6896.60575"/>
        <s v="6934.948649999998"/>
        <s v="6969.587449999999"/>
        <s v="7001.929399999998"/>
        <s v="7036.266249999999"/>
        <s v="7070.7338500000005"/>
        <s v="7105.22315"/>
        <s v="7141.391849999999"/>
        <s v="7177.816999999999"/>
        <s v="7211.274649999999"/>
        <s v="7244.347499999999"/>
        <s v="7278.052149999999"/>
        <s v="7311.276"/>
        <s v="7344.748199999999"/>
        <s v="7379.4055499999995"/>
        <s v="7413.0809"/>
        <s v="7445.5604"/>
        <s v="7474.86665"/>
        <s v="7504.51005"/>
        <s v="7534.4317"/>
        <s v="7564.4039"/>
        <s v="7595.497249999999"/>
        <s v="7629.4932"/>
        <s v="7664.1834499999995"/>
        <s v="7698.847049999999"/>
        <s v="7733.61675"/>
        <s v="7765.9989000000005"/>
        <s v="7798.421899999999"/>
        <s v="7830.31835"/>
        <s v="7861.775149999999"/>
        <s v="7892.309049999999"/>
        <s v="7922.6939999999995"/>
        <s v="7955.103599999999"/>
        <s v="7987.526049999999"/>
        <s v="8019.944099999998"/>
        <s v="8052.367349999999"/>
        <s v="8084.297649999998"/>
        <s v="8116.124299999997"/>
        <s v="8146.381899999997"/>
        <s v="8178.466099999998"/>
        <s v="8209.835099999997"/>
        <s v="8240.495249999996"/>
        <s v="8270.674599999997"/>
        <s v="8299.713049999997"/>
        <s v="8322.276449999998"/>
        <s v="8344.683199999998"/>
        <s v="8365.493199999997"/>
        <s v="8386.982649999998"/>
        <s v="8408.191399999996"/>
        <s v="8429.073649999997"/>
        <s v="8451.238749999997"/>
        <s v="8472.431199999997"/>
        <s v="8493.650499999996"/>
        <s v="8514.481299999998"/>
        <s v="8534.891249999997"/>
        <s v="8554.914999999997"/>
        <s v="8574.786549999997"/>
        <s v="8595.774049999998"/>
        <s v="8616.833499999999"/>
        <s v="8639.551699999996"/>
        <s v="8661.363299999997"/>
        <s v="8683.332749999998"/>
        <s v="8704.793499999998"/>
        <s v="8726.147449999997"/>
        <s v="8747.335549999998"/>
        <s v="8767.0865"/>
        <s v="8787.002849999997"/>
        <s v="8806.147599999998"/>
        <s v="8822.465399999997"/>
        <s v="8837.417449999999"/>
        <s v="8853.601299999998"/>
        <s v="8869.777949999998"/>
        <s v="8884.632399999999"/>
        <s v="8896.358199999999"/>
        <s v="8908.406149999999"/>
        <s v="8928.381199999998"/>
        <s v="8949.008449999998"/>
        <s v="8970.700399999998"/>
        <s v="8992.406899999998"/>
        <s v="9013.015899999999"/>
        <s v="9033.447999999999"/>
        <s v="9053.459649999997"/>
        <s v="9074.471449999997"/>
        <s v="9094.413349999997"/>
        <s v="9114.203849999998"/>
        <s v="9134.627499999997"/>
        <s v="9154.727649999999"/>
        <s v="9174.5363"/>
        <s v="9193.18155"/>
        <s v="9209.49375"/>
        <s v="9226.433399999998"/>
        <s v="9242.907849999998"/>
        <s v="9260.412299999998"/>
        <s v="9278.092849999997"/>
        <s v="9295.270199999999"/>
        <s v="9312.118199999999"/>
        <s v="9328.354949999999"/>
        <s v="9344.423449999998"/>
        <s v="9359.825499999999"/>
        <s v="9372.015699999998"/>
        <s v="9383.56145"/>
        <s v="9394.422349999999"/>
        <s v="9402.62975"/>
        <s v="9409.30195"/>
        <s v="9416.0855"/>
        <s v="9421.065349999999"/>
        <s v="9425.483699999999"/>
        <s v="9427.79335"/>
        <s v="9429.82505"/>
        <s v="9431.191449999998"/>
        <s v="9429.850849999999"/>
        <s v="9426.57745"/>
        <s v="9423.30135"/>
        <s v="9423.599400000001"/>
        <s v="9423.268250000001"/>
        <s v="9420.335700000001"/>
        <s v="9417.95695"/>
        <s v="9416.0707"/>
        <s v="9414.23855"/>
        <s v="9413.3272"/>
        <s v="9410.119999999999"/>
        <s v="9406.2676"/>
        <s v="9402.28885"/>
        <s v="9394.80715"/>
        <s v="9387.3043"/>
        <s v="9379.597600000001"/>
        <s v="9371.592550000001"/>
        <s v="9364.3685"/>
        <s v="9355.0649"/>
        <s v="9347.46995"/>
        <s v="9340.733"/>
        <s v="9336.830550000002"/>
        <s v="9333.83135"/>
        <s v="9332.547700000001"/>
        <s v="9329.3721"/>
        <s v="9325.937750000001"/>
        <s v="9322.800500000001"/>
        <s v="9319.3418"/>
        <s v="9316.34675"/>
        <s v="9313.441200000001"/>
        <s v="9309.53885"/>
        <s v="9304.370200000001"/>
        <s v="9297.051300000001"/>
        <s v="9287.360700000001"/>
        <s v="9277.679250000001"/>
        <s v="9268.568800000003"/>
        <s v="9260.274650000001"/>
        <s v="9251.639650000001"/>
        <s v="9242.1151"/>
        <s v="9230.0511"/>
        <s v="9215.963049999998"/>
        <s v="9200.9208"/>
        <s v="9184.7678"/>
        <s v="9162.2249"/>
        <s v="9143.731749999999"/>
        <s v="9127.221899999999"/>
        <s v="9111.38005"/>
        <s v="9096.79905"/>
        <s v="9086.5217"/>
        <s v="9079.4487"/>
        <s v="9066.505949999999"/>
        <s v="9050.9139"/>
        <s v="9038.25305"/>
        <s v="9024.725"/>
        <s v="9010.640999999998"/>
        <s v="8993.38005"/>
        <s v="8972.3403"/>
        <s v="8950.20775"/>
        <s v="8935.66755"/>
        <s v="8922.684849999998"/>
        <s v="8912.2162"/>
        <s v="8905.193449999999"/>
        <s v="8900.1802"/>
        <s v="8893.688800000002"/>
        <s v="8892.8009"/>
        <s v="8890.2211"/>
        <s v="8883.761300000002"/>
        <s v="8877.878"/>
        <s v="8873.037400000001"/>
        <s v="8869.3037"/>
        <s v="8867.8814"/>
        <s v="8869.662400000001"/>
        <s v="8868.496000000001"/>
        <s v="8868.65565"/>
        <s v="8872.6129"/>
        <s v="8876.10045"/>
        <s v="8879.5421"/>
        <s v="8882.876450000002"/>
        <s v="8883.543450000003"/>
        <s v="8881.837900000002"/>
        <s v="8878.36945"/>
        <s v="8874.967100000002"/>
        <s v="8868.845150000001"/>
        <s v="8858.551100000002"/>
        <s v="8848.155400000003"/>
        <s v="8839.156400000002"/>
        <s v="8828.745700000001"/>
        <s v="8817.3454"/>
        <s v="8805.86645"/>
        <s v="8792.893950000001"/>
        <s v="8779.286100000001"/>
        <s v="8766.400650000001"/>
        <s v="8756.628400000001"/>
        <s v="8750.095200000003"/>
        <s v="8742.380850000001"/>
        <s v="8734.495100000002"/>
        <s v="8728.063550000003"/>
        <s v="8720.094100000002"/>
        <s v="8711.852550000003"/>
        <s v="8704.68265"/>
        <s v="8693.62155"/>
        <s v="8682.2932"/>
        <s v="8671.06315"/>
        <s v="8651.300949999999"/>
        <s v="8626.44945"/>
        <s v="8602.651550000002"/>
        <s v="8578.479400000002"/>
        <s v="8555.91465"/>
        <s v="8534.184500000001"/>
        <s v="8512.205900000003"/>
        <s v="8492.68215"/>
        <s v="8474.81035"/>
        <s v="8453.568650000003"/>
        <s v="8431.492750000001"/>
        <s v="8409.267950000003"/>
        <s v="8388.879150000002"/>
        <s v="8370.056200000003"/>
        <s v="8351.075150000002"/>
        <s v="8332.776200000002"/>
        <s v="8312.607400000003"/>
        <s v="8292.904300000002"/>
        <s v="8273.334350000003"/>
        <s v="8253.960150000003"/>
        <s v="8233.896350000003"/>
        <s v="8215.490150000003"/>
        <s v="8197.732750000003"/>
        <s v="8180.234600000004"/>
        <s v="8163.064100000005"/>
        <s v="8149.041000000005"/>
        <s v="8134.711150000004"/>
        <s v="8120.868850000003"/>
        <s v="8107.205500000002"/>
        <s v="8092.054650000001"/>
        <s v="8077.678750000001"/>
        <s v="8069.84275"/>
        <s v="8061.36495"/>
        <s v="8055.35365"/>
        <s v="8048.2516000000005"/>
        <s v="8042.599100000001"/>
        <s v="8037.6174"/>
        <s v="8031.48335"/>
        <s v="8026.169249999999"/>
        <s v="8020.285750000001"/>
        <s v="8013.784299999999"/>
        <s v="8008.0581999999995"/>
        <s v="8003.594599999999"/>
        <s v="8001.0623"/>
        <s v="7997.77405"/>
        <s v="7994.618"/>
        <s v="7990.4479"/>
        <s v="7987.385700000001"/>
        <s v="7986.21145"/>
        <s v="7988.732899999999"/>
        <s v="7991.0024"/>
        <s v="7993.868849999999"/>
        <s v="7998.643549999999"/>
        <s v="8002.057299999999"/>
        <s v="8006.81585"/>
        <s v="8013.046199999999"/>
        <s v="8019.564499999999"/>
        <s v="8027.965449999997"/>
        <s v="8035.381299999996"/>
        <s v="8038.954449999997"/>
        <s v="8044.952149999997"/>
        <s v="8050.587099999996"/>
        <s v="8049.297849999997"/>
        <s v="8050.504499999996"/>
        <s v="8050.996049999996"/>
        <s v="8050.963549999997"/>
        <s v="8052.658499999996"/>
        <s v="8055.292499999997"/>
        <s v="8057.836999999997"/>
        <s v="8060.036049999996"/>
        <s v="8060.592399999998"/>
        <s v="8060.214999999999"/>
        <s v="8059.444349999998"/>
        <s v="8058.519699999997"/>
        <s v="8056.265299999998"/>
        <s v="8055.330699999997"/>
        <s v="8056.714949999997"/>
        <s v="8058.964499999997"/>
        <s v="8062.281699999997"/>
        <s v="8066.085099999997"/>
        <s v="8069.880949999996"/>
        <s v="8074.069149999996"/>
        <s v="8081.458199999996"/>
        <s v="8086.684949999996"/>
        <s v="8092.108249999996"/>
        <s v="8098.133899999997"/>
        <s v="8105.3030999999955"/>
        <s v="8113.055799999996"/>
        <s v="8121.925599999996"/>
        <s v="8133.716699999995"/>
        <s v="8146.244199999995"/>
        <s v="8158.9437999999955"/>
        <s v="8170.750649999996"/>
        <s v="8182.023249999996"/>
        <s v="8192.864699999998"/>
        <s v="8201.903399999996"/>
        <s v="8211.521099999998"/>
        <s v="8220.2853"/>
        <s v="8230.5893"/>
        <s v="8240.7932"/>
        <s v="8250.63275"/>
        <s v="8261.1242"/>
        <s v="8271.559899999998"/>
        <s v="8282.487549999998"/>
        <s v="8291.745899999998"/>
        <s v="8300.28315"/>
        <s v="8308.794899999999"/>
        <s v="8317.821549999999"/>
        <s v="8326.85225"/>
        <s v="8336.3985"/>
        <s v="8345.844"/>
        <s v="8355.61645"/>
        <s v="8366.0605"/>
        <s v="8376.05505"/>
        <s v="8386.83585"/>
        <s v="8398.617999999999"/>
        <s v="8408.719149999999"/>
        <s v="8419.057599999998"/>
        <s v="8429.6001"/>
        <s v="8440.4165"/>
        <s v="8448.6711"/>
        <s v="8458.1234"/>
        <s v="8468.04545"/>
        <s v="8478.022449999999"/>
        <s v="8487.88315"/>
        <s v="8497.27"/>
        <s v="8505.7967"/>
        <s v="8514.6317"/>
        <s v="8524.0598"/>
        <s v="8533.6648"/>
        <s v="8543.773200000003"/>
        <s v="8553.894100000003"/>
        <s v="8563.878200000003"/>
        <s v="8573.977950000004"/>
        <s v="8583.779800000004"/>
        <s v="8592.132500000003"/>
        <s v="8599.910350000002"/>
        <s v="8611.581000000004"/>
        <s v="8626.994600000004"/>
        <s v="8641.854100000004"/>
        <s v="8656.163450000004"/>
        <s v="8671.321600000005"/>
        <s v="8686.707350000004"/>
        <s v="8698.980800000003"/>
        <s v="8711.497650000005"/>
        <s v="8723.377100000005"/>
        <s v="8735.981100000005"/>
        <s v="8751.083400000005"/>
        <s v="8766.522750000006"/>
        <s v="8781.694050000006"/>
        <s v="8796.730850000007"/>
        <s v="8814.031450000006"/>
        <s v="8830.638450000006"/>
        <s v="8846.424900000005"/>
        <s v="8861.911550000006"/>
        <s v="8877.150850000005"/>
        <s v="8891.245000000006"/>
        <s v="8903.851750000005"/>
        <s v="8916.595300000004"/>
        <s v="8931.048050000007"/>
        <s v="8943.163350000004"/>
        <s v="8955.216750000003"/>
        <s v="8967.363250000002"/>
        <s v="8979.355700000004"/>
        <s v="8990.435050000006"/>
        <s v="9001.064600000005"/>
        <s v="9010.098050000002"/>
        <s v="9018.138600000004"/>
        <s v="9024.691550000003"/>
        <s v="9032.771400000003"/>
        <s v="9041.165850000001"/>
        <s v="9047.71915"/>
        <s v="9055.095700000002"/>
        <s v="9063.462850000004"/>
        <s v="9069.553700000002"/>
        <s v="9076.245550000003"/>
        <s v="9080.055150000002"/>
        <s v="9082.753600000002"/>
        <s v="9083.315300000002"/>
        <s v="9086.222400000002"/>
        <s v="9088.533850000002"/>
        <s v="9091.45525"/>
        <s v="9093.924200000001"/>
        <s v="9096.77195"/>
        <s v="9100.8654"/>
        <s v="9106.93505"/>
        <s v="9115.713850000002"/>
        <s v="9126.30745"/>
        <s v="9137.421950000002"/>
        <s v="9149.014350000001"/>
        <s v="9159.912650000002"/>
        <s v="9171.217100000002"/>
        <s v="9182.141900000002"/>
        <s v="9189.879550000001"/>
        <s v="9197.52945"/>
        <s v="9205.155200000001"/>
        <s v="9214.628150000002"/>
        <s v="9228.411250000003"/>
        <s v="9241.899900000002"/>
        <s v="9255.779550000001"/>
        <s v="9279.717050000001"/>
        <s v="9307.555850000002"/>
        <s v="9334.195600000001"/>
        <s v="9361.730450000001"/>
        <s v="9389.372400000002"/>
        <s v="9415.93185"/>
        <s v="9442.688850000002"/>
        <s v="9466.954250000003"/>
        <s v="9488.478950000002"/>
        <s v="9510.699950000004"/>
        <s v="9534.379500000003"/>
        <s v="9559.009500000004"/>
        <s v="9582.603100000002"/>
        <s v="9606.127100000003"/>
        <s v="9629.826100000004"/>
        <s v="9653.744350000004"/>
        <s v="9679.550800000003"/>
        <s v="9705.773600000004"/>
        <s v="9730.870950000004"/>
        <s v="9755.316100000004"/>
        <s v="9780.795050000004"/>
        <s v="9805.038300000004"/>
        <s v="9830.255350000003"/>
        <s v="9858.212050000004"/>
        <s v="9888.889400000004"/>
        <s v="9918.016650000003"/>
        <s v="9946.331950000003"/>
        <s v="9974.958650000004"/>
        <s v="10003.846950000005"/>
        <s v="10036.126350000006"/>
        <s v="10068.520100000005"/>
        <s v="10100.404700000008"/>
        <s v="10134.044900000008"/>
        <s v="10168.430700000008"/>
        <s v="10203.221250000008"/>
        <s v="10235.776200000008"/>
        <s v="10268.069100000004"/>
        <s v="10301.482350000004"/>
        <s v="10339.196000000004"/>
        <s v="10381.381350000003"/>
        <s v="10424.303950000005"/>
        <s v="10465.239900000004"/>
        <s v="10506.389500000005"/>
        <s v="10545.202800000005"/>
        <s v="10585.313450000007"/>
        <s v="10626.722050000006"/>
        <s v="10669.354200000003"/>
        <s v="10710.387700000005"/>
        <s v="10749.696300000005"/>
        <s v="10786.983400000003"/>
        <s v="10827.795650000004"/>
        <s v="10872.301650000003"/>
        <s v="10916.689800000002"/>
        <s v="10964.1104"/>
        <s v="11012.775450000001"/>
        <s v="11058.72325"/>
        <s v="11104.1935"/>
        <s v="11149.356099999999"/>
        <s v="11195.722749999997"/>
        <s v="11238.085799999995"/>
        <s v="11279.69305"/>
        <s v="11321.742499999998"/>
        <s v="11367.3517"/>
        <s v="11412.33195"/>
        <s v="11461.3975"/>
        <s v="11509.308450000002"/>
        <s v="11558.261500000004"/>
        <s v="11604.881900000004"/>
        <s v="11651.634350000006"/>
        <s v="11698.737100000002"/>
        <s v="11748.096900000002"/>
        <s v="11796.699550000001"/>
        <s v="11842.088600000003"/>
        <s v="11887.900800000003"/>
        <s v="11933.699050000001"/>
        <s v="11981.39115"/>
        <s v="12031.650549999998"/>
        <s v="12080.748399999999"/>
        <s v="12130.320949999998"/>
        <s v="12181.315700000001"/>
        <s v="12247.262450000002"/>
        <s v="12313.91345"/>
        <s v="12379.0214"/>
        <s v="12448.829199999996"/>
        <s v="12516.084299999995"/>
        <s v="12583.082699999995"/>
        <s v="12652.665299999995"/>
        <s v="12720.553749999994"/>
        <s v="12792.316049999992"/>
        <s v="12868.229199999992"/>
        <s v="12953.94989999999"/>
        <s v="13039.987649999992"/>
        <s v="13126.16404999999"/>
        <s v="13219.108449999992"/>
        <s v="13316.610849999992"/>
        <s v="13416.136049999994"/>
        <s v="13517.785399999995"/>
        <s v="13637.589599999996"/>
        <s v="13748.725249999994"/>
        <s v="13862.485999999997"/>
        <s v="13990.853749999998"/>
        <s v="14134.432449999997"/>
        <s v="14286.353899999996"/>
        <s v="14441.174499999997"/>
        <s v="14593.322399999997"/>
        <s v="14718.987"/>
        <s v="14847.52935"/>
        <s v="14975.06935"/>
        <s v="15121.92005"/>
        <s v="15265.840950000002"/>
        <s v="15404.35605"/>
        <s v="15537.28425"/>
        <s v="15671.6481"/>
        <s v="15810.3474"/>
        <s v="15940.219050000003"/>
        <s v="16057.547000000002"/>
        <s v="16170.896900000002"/>
        <s v="16286.1789"/>
        <s v="16400.788150000004"/>
        <s v="16520.639450000002"/>
        <s v="16634.671150000002"/>
        <s v="16744.944050000002"/>
        <s v="16857.104850000003"/>
        <s v="16984.304700000004"/>
        <s v="17108.92520000001"/>
        <s v="17230.709550000007"/>
        <s v="17353.44710000001"/>
        <s v="17481.853950000008"/>
        <s v="17618.740750000008"/>
        <s v="17760.39725000001"/>
        <s v="17902.506050000007"/>
        <s v="18054.894950000005"/>
        <s v="18201.213650000005"/>
        <s v="18350.437500000007"/>
        <s v="18535.38850000001"/>
        <s v="18717.24135000001"/>
        <s v="18898.75070000001"/>
        <s v="19085.39865000001"/>
        <s v="19266.312350000007"/>
        <s v="19454.697600000007"/>
        <s v="19639.38675000001"/>
        <s v="19828.58430000001"/>
        <s v="20026.196750000006"/>
        <s v="20229.491800000007"/>
        <s v="20437.310700000005"/>
        <s v="20661.850100000003"/>
        <s v="20890.938300000005"/>
        <s v="21106.264600000006"/>
        <s v="21288.953350000003"/>
        <s v="21480.115200000004"/>
        <s v="21673.42970000001"/>
        <s v="21846.933050000007"/>
        <s v="22024.372650000005"/>
        <s v="22191.577400000013"/>
        <s v="22373.806400000012"/>
        <s v="22558.72630000001"/>
        <s v="22753.645400000005"/>
        <s v="22941.436850000006"/>
        <s v="23119.24400000001"/>
        <s v="23300.440100000007"/>
        <s v="23492.914900000007"/>
        <s v="23687.84205000001"/>
        <s v="23899.280750000013"/>
        <s v="24119.024800000014"/>
        <s v="24342.094550000016"/>
        <s v="24567.446700000008"/>
        <s v="24807.367550000014"/>
        <s v="25051.949650000013"/>
        <s v="25278.46100000001"/>
        <s v="25499.238150000012"/>
        <s v="25721.327300000008"/>
        <s v="25955.581050000004"/>
        <s v="26189.93480000001"/>
        <s v="26425.191150000006"/>
        <s v="26654.966700000004"/>
        <s v="26885.012950000008"/>
        <s v="27107.366900000008"/>
        <s v="27332.94095000001"/>
        <s v="27543.98290000001"/>
        <s v="27760.704200000007"/>
        <s v="27985.700750000007"/>
        <s v="28215.111300000008"/>
        <s v="28451.415500000006"/>
        <s v="28694.220750000008"/>
        <s v="28937.14370000001"/>
        <s v="29180.79555000001"/>
        <s v="29426.618850000013"/>
        <s v="29670.84815000001"/>
        <s v="29908.079300000012"/>
        <s v="30146.803500000005"/>
        <s v="30385.40515000001"/>
        <s v="30614.27060000001"/>
        <s v="30845.68365000001"/>
        <s v="31084.049100000015"/>
        <s v="31332.118950000015"/>
        <s v="31578.18595000001"/>
        <s v="31825.50175000001"/>
        <s v="32086.46350000001"/>
        <s v="32350.55045000001"/>
        <s v="32612.17970000001"/>
        <s v="32866.203850000005"/>
        <s v="33118.53335000001"/>
        <s v="33344.01655000001"/>
        <s v="33572.60260000001"/>
        <s v="33798.21000000001"/>
        <s v="34022.99200000001"/>
        <s v="34241.13105000001"/>
        <s v="34437.66730000001"/>
        <s v="34635.04590000001"/>
        <s v="34830.815100000014"/>
        <s v="35043.01085000001"/>
        <s v="35261.54945000001"/>
        <s v="35478.77720000001"/>
        <s v="35691.81990000001"/>
        <s v="35908.09305000001"/>
        <s v="36139.689300000005"/>
        <s v="36366.834650000004"/>
        <s v="36599.5273"/>
        <s v="36821.33385"/>
        <s v="37042.6915"/>
        <s v="37270.34115"/>
        <s v="37496.82295"/>
        <s v="37730.8033"/>
        <s v="37959.29505"/>
        <s v="38184.63995"/>
        <s v="38399.20435"/>
        <s v="38616.72735"/>
        <s v="38801.05235"/>
        <s v="38986.55685"/>
        <s v="39164.06095"/>
        <s v="39338.11355"/>
        <s v="39493.67155"/>
        <s v="39648.6882"/>
        <s v="39776.82965"/>
        <s v="39907.9543"/>
        <s v="40040.0969"/>
        <s v="40161.171200000004"/>
        <s v="40266.1443"/>
        <s v="40379.128000000004"/>
        <s v="40491.84835"/>
        <s v="40610.72440000001"/>
        <s v="40729.04060000001"/>
        <s v="40835.72225"/>
        <s v="40934.78235"/>
        <s v="41035.31115"/>
        <s v="41139.5506"/>
        <s v="41240.91595"/>
        <s v="41347.88865"/>
        <s v="41461.6688"/>
        <s v="41565.01915"/>
        <s v="41661.5214"/>
        <s v="41752.54065"/>
        <s v="41844.0213"/>
        <s v="41917.27160000001"/>
        <s v="41998.60115000001"/>
        <s v="42090.98145000001"/>
        <s v="42184.45265000001"/>
        <s v="42268.016550000015"/>
        <s v="42352.5198"/>
        <s v="42464.5673"/>
        <s v="42580.648600000015"/>
        <s v="42690.92085000002"/>
        <s v="42794.32265000002"/>
        <s v="42888.461550000015"/>
        <s v="42970.85025000001"/>
        <s v="43052.96170000001"/>
        <s v="43120.08290000001"/>
        <s v="43187.43790000001"/>
        <s v="43261.587750000006"/>
        <s v="43335.18240000001"/>
        <s v="43406.041050000014"/>
        <s v="43469.35530000001"/>
        <s v="43543.29525000001"/>
        <s v="43623.889"/>
        <s v="43712.99800000001"/>
        <s v="43795.059300000015"/>
        <s v="43866.87210000001"/>
        <s v="43937.82265000002"/>
        <s v="44013.90785000002"/>
        <s v="44092.350700000025"/>
        <s v="44149.29485000002"/>
        <s v="44205.17985000002"/>
        <s v="44262.632700000024"/>
        <s v="44309.21945000002"/>
        <s v="44358.855550000015"/>
        <s v="44411.77720000002"/>
        <s v="44463.09090000002"/>
        <s v="44514.86510000001"/>
        <s v="44558.7424"/>
        <s v="44597.147150000004"/>
        <s v="44621.93785"/>
        <s v="44645.9937"/>
        <s v="44670.58695"/>
        <s v="44689.000949999994"/>
        <s v="44700.60054999999"/>
        <s v="44702.89669999998"/>
        <s v="44711.06754999998"/>
        <s v="44704.69194999998"/>
        <s v="44708.70439999997"/>
        <s v="44717.45404999997"/>
        <s v="44714.45994999998"/>
        <s v="44715.877149999986"/>
        <s v="44705.549299999984"/>
        <s v="44701.83964999999"/>
        <s v="44701.73974999999"/>
        <s v="44728.25319999999"/>
        <s v="44761.88999999999"/>
        <s v="44796.27504999999"/>
        <s v="44802.306049999985"/>
        <s v="44804.89919999999"/>
        <s v="44813.09289999999"/>
        <s v="44831.0726"/>
        <s v="44855.04334999999"/>
        <s v="44888.52579999999"/>
        <s v="44934.83049999999"/>
        <s v="45000.10519999998"/>
        <s v="45068.68549999999"/>
        <s v="45137.79569999997"/>
        <s v="45200.93364999998"/>
        <s v="45265.97584999997"/>
        <s v="45341.013999999974"/>
        <s v="45416.30209999998"/>
        <s v="45493.81299999999"/>
        <s v="45550.433499999985"/>
        <s v="45605.20834999999"/>
        <s v="45662.27779999998"/>
        <s v="45730.107699999986"/>
        <s v="45800.82664999999"/>
        <s v="45862.89169999999"/>
        <s v="45925.422349999986"/>
        <s v="45983.33794999999"/>
        <s v="46025.41464999999"/>
        <s v="46067.48864999999"/>
        <s v="46108.21309999999"/>
        <s v="46120.2852"/>
        <s v="46133.413049999996"/>
        <s v="46142.672049999994"/>
        <s v="46141.26464999999"/>
        <s v="46143.43415"/>
        <s v="46148.03615"/>
        <s v="46158.4709"/>
        <s v="46163.91305"/>
        <s v="46159.117150000005"/>
        <s v="46158.42340000001"/>
        <s v="46149.69470000001"/>
        <s v="46100.3558"/>
        <s v="46045.818649999994"/>
        <s v="46002.3192"/>
        <s v="45987.86749999999"/>
        <s v="45967.67959999999"/>
        <s v="45939.65995"/>
        <s v="45936.96115"/>
        <s v="45938.9076"/>
        <s v="45953.93805"/>
        <s v="45951.6956"/>
        <s v="45949.683999999994"/>
        <s v="45933.97559999998"/>
        <s v="45907.26734999999"/>
        <s v="45883.38939999998"/>
        <s v="45852.72419999997"/>
        <s v="45821.61399999999"/>
        <s v="45782.047649999986"/>
        <s v="45724.99029999998"/>
        <s v="45663.25879999998"/>
        <s v="45600.107999999986"/>
        <s v="45525.214449999985"/>
        <s v="45437.59729999999"/>
        <s v="45352.624849999986"/>
        <s v="45305.07044999999"/>
        <s v="45265.84084999999"/>
        <s v="45225.99645"/>
        <s v="45172.66425"/>
        <s v="45129.53929999999"/>
        <s v="45096.18179999999"/>
        <s v="45080.48539999998"/>
        <s v="45065.64504999997"/>
        <s v="45065.29499999997"/>
        <s v="45063.759099999974"/>
        <s v="45085.371049999965"/>
        <s v="45102.28919999997"/>
        <s v="45107.773849999976"/>
        <s v="45115.30039999998"/>
        <s v="45125.47589999998"/>
        <s v="45137.75429999998"/>
        <s v="45147.616249999985"/>
        <s v="45161.74164999998"/>
        <s v="45175.40114999999"/>
        <s v="45198.19754999999"/>
        <s v="45229.73794999999"/>
        <s v="45250.0569"/>
        <s v="45262.26885"/>
        <s v="45282.279449999995"/>
        <s v="45309.7441"/>
        <s v="45529.57254999998"/>
        <s v="45384.755599999975"/>
        <s v="45230.36929999998"/>
        <s v="45074.39009999998"/>
        <s v="44915.33839999998"/>
        <s v="44757.65509999998"/>
        <s v="44602.015249999975"/>
        <s v="44433.23814999998"/>
        <s v="44267.81844999998"/>
        <s v="44109.729749999984"/>
        <s v="43948.61134999999"/>
        <s v="43792.07189999999"/>
        <s v="43629.44579999998"/>
        <s v="43444.38939999998"/>
        <s v="43250.63555"/>
        <s v="43062.31614999999"/>
        <s v="42890.60209999999"/>
        <s v="42728.65194999999"/>
        <s v="42566.281849999985"/>
        <s v="42393.96779999999"/>
        <s v="42214.8108"/>
        <s v="42060.19245"/>
        <s v="41908.69729999999"/>
        <s v="41769.00165"/>
        <s v="41630.32015"/>
        <s v="41489.3547"/>
        <s v="41344.65305"/>
        <s v="41206.925"/>
        <s v="41065.783449999995"/>
        <s v="40919.888600000006"/>
        <s v="40747.5431"/>
        <s v="40585.27125"/>
        <s v="40417.8186"/>
        <s v="40251.72575"/>
        <s v="40067.88645"/>
        <s v="39877.1336"/>
        <s v="39688.2936"/>
        <s v="39506.59165"/>
        <s v="39328.7597"/>
        <s v="39188.6722"/>
        <s v="39044.969750000004"/>
        <s v="38905.99635"/>
        <s v="38757.152"/>
        <s v="38611.724"/>
        <s v="38470.88595"/>
        <s v="38333.4001"/>
        <s v="38191.4335"/>
        <s v="38039.57575"/>
        <s v="37893.1168"/>
        <s v="37754.20895"/>
        <s v="37608.97145"/>
        <s v="37463.07444999999"/>
        <s v="37328.76149999999"/>
        <s v="37195.8685"/>
        <s v="37062.60064999999"/>
        <s v="36939.166399999995"/>
        <s v="36804.12714999999"/>
        <s v="36665.47999999999"/>
        <s v="36525.10114999999"/>
        <s v="36368.89475"/>
        <s v="36212.472499999996"/>
        <s v="36062.986899999996"/>
        <s v="35912.26895"/>
        <s v="35770.38144999999"/>
        <s v="35638.04344999999"/>
        <s v="35512.19344999999"/>
        <s v="35387.06999999999"/>
        <s v="35269.423"/>
        <s v="35147.81825"/>
        <s v="35028.691349999994"/>
        <s v="34909.27784999999"/>
        <s v="34791.06415"/>
        <s v="34685.0632"/>
        <s v="34580.85705"/>
        <s v="34478.2377"/>
        <s v="34384.618500000004"/>
        <s v="34295.19895"/>
        <s v="34203.965500000006"/>
        <s v="34107.373600000006"/>
        <s v="34005.46770000001"/>
        <s v="33905.894250000005"/>
        <s v="33807.0726"/>
        <s v="33706.108349999995"/>
        <s v="33608.399399999995"/>
        <s v="33514.61124999999"/>
        <s v="33420.39519999999"/>
        <s v="33329.71039999999"/>
        <s v="33252.11334999999"/>
        <s v="33190.27644999998"/>
        <s v="33135.27714999999"/>
        <s v="33078.81439999999"/>
        <s v="33018.96149999998"/>
        <s v="32953.13379999998"/>
        <s v="32891.82344999998"/>
        <s v="32826.520049999985"/>
        <s v="32756.35284999998"/>
        <s v="32683.60829999998"/>
        <s v="32605.02159999999"/>
        <s v="32518.223299999987"/>
        <s v="32433.196299999985"/>
        <s v="32354.953899999982"/>
        <s v="32272.318049999987"/>
        <s v="32171.993849999984"/>
        <s v="32072.041249999987"/>
        <s v="31965.072049999988"/>
        <s v="31846.32674999999"/>
        <s v="31726.469849999983"/>
        <s v="31604.878699999987"/>
        <s v="31489.149999999987"/>
        <s v="31378.61434999998"/>
        <s v="31267.05149999998"/>
        <s v="31156.62194999998"/>
        <s v="31035.526599999983"/>
        <s v="30914.25924999998"/>
        <s v="30797.228099999982"/>
        <s v="30694.054699999982"/>
        <s v="30587.815199999975"/>
        <s v="30492.124799999976"/>
        <s v="30403.37219999998"/>
        <s v="30322.147649999977"/>
        <s v="30239.64814999998"/>
        <s v="30172.145499999973"/>
        <s v="30089.282849999978"/>
        <s v="29994.61569999998"/>
        <s v="29900.94659999998"/>
        <s v="29807.88734999998"/>
        <s v="29689.86339999998"/>
        <s v="29569.21279999998"/>
        <s v="29447.233549999975"/>
        <s v="29336.50209999998"/>
        <s v="29235.89134999998"/>
        <s v="29135.85644999998"/>
        <s v="29040.23384999999"/>
        <s v="28942.27304999999"/>
        <s v="28827.554049999984"/>
        <s v="28726.503949999988"/>
        <s v="28632.26369999999"/>
        <s v="28532.22109999998"/>
        <s v="28434.522799999988"/>
        <s v="28337.94759999999"/>
        <s v="28239.85064999999"/>
        <s v="28134.168049999997"/>
        <s v="28025.871349999994"/>
        <s v="27922.164999999994"/>
        <s v="27813.960099999993"/>
        <s v="27706.34785"/>
        <s v="27600.2508"/>
        <s v="27484.91575"/>
        <s v="27370.76295"/>
        <s v="27251.909699999997"/>
        <s v="27126.08755"/>
        <s v="26999.6501"/>
        <s v="26871.66229999999"/>
        <s v="26733.575049999985"/>
        <s v="26591.622799999983"/>
        <s v="26451.06029999999"/>
        <s v="26313.075499999988"/>
        <s v="26183.482249999986"/>
        <s v="26046.79639999998"/>
        <s v="25910.694699999982"/>
        <s v="25775.649299999983"/>
        <s v="25638.554499999984"/>
        <s v="25509.922899999983"/>
        <s v="25389.343599999986"/>
        <s v="25268.403499999993"/>
        <s v="25159.114499999992"/>
        <s v="25048.69569999999"/>
        <s v="24944.23834999999"/>
        <s v="24847.71819999999"/>
        <s v="24750.499499999987"/>
        <s v="24647.75994999999"/>
        <s v="24549.205349999997"/>
        <s v="24449.188349999997"/>
        <s v="24348.672999999995"/>
        <s v="24254.250899999988"/>
        <s v="24156.175299999984"/>
        <s v="24055.428399999986"/>
        <s v="23950.97069999999"/>
        <s v="23847.405349999986"/>
        <s v="23737.680199999995"/>
        <s v="23623.167049999996"/>
        <s v="23513.557449999997"/>
        <s v="23395.76749999999"/>
        <s v="23284.16145"/>
        <s v="23168.574149999997"/>
        <s v="23057.610099999987"/>
        <s v="22948.035249999994"/>
        <s v="22840.960349999987"/>
        <s v="22731.310949999985"/>
        <s v="22622.397899999985"/>
        <s v="22510.53644999998"/>
        <s v="22393.434249999984"/>
        <s v="22292.253949999988"/>
        <s v="22195.013299999988"/>
        <s v="22105.02299999999"/>
        <s v="22022.49519999999"/>
        <s v="21948.46639999999"/>
        <s v="21876.54469999999"/>
        <s v="21815.100749999994"/>
        <s v="21746.002049999996"/>
        <s v="21683.105999999996"/>
        <s v="21618.89815"/>
        <s v="21554.455249999995"/>
        <s v="21487.548300000002"/>
        <s v="21423.635549999995"/>
        <s v="21362.292199999996"/>
        <s v="21296.641949999997"/>
        <s v="21234.204100000003"/>
        <s v="21168.9422"/>
        <s v="21103.9227"/>
        <s v="21043.094149999997"/>
        <s v="20980.220849999994"/>
        <s v="20917.528899999998"/>
        <s v="20860.0371"/>
        <s v="20804.803900000003"/>
        <s v="20747.5871"/>
        <s v="20679.617100000003"/>
        <s v="20604.762150000006"/>
        <s v="20530.849700000006"/>
        <s v="20464.506050000004"/>
        <s v="20399.53065"/>
        <s v="20335.21475"/>
        <s v="20270.458450000002"/>
        <s v="20197.89355"/>
        <s v="20133.95245"/>
        <s v="20066.1241"/>
        <s v="19999.277350000004"/>
        <s v="19934.391900000002"/>
        <s v="19873.8976"/>
        <s v="19819.33455"/>
        <s v="19782.88555"/>
        <s v="19754.541699999998"/>
        <s v="19730.898449999997"/>
        <s v="19708.518099999998"/>
        <s v="19688.78255"/>
        <s v="19677.121750000002"/>
        <s v="19664.1982"/>
        <s v="19646.412"/>
        <s v="19626.259849999995"/>
        <s v="19609.38875"/>
        <s v="19593.0647"/>
        <s v="19573.845899999997"/>
        <s v="19554.741849999995"/>
        <s v="19538.818849999996"/>
        <s v="19528.051449999995"/>
        <s v="19528.750149999996"/>
        <s v="19532.08055"/>
        <s v="19541.799749999995"/>
        <s v="19550.429399999994"/>
        <s v="19560.360549999994"/>
        <s v="19568.747799999997"/>
        <s v="19576.321249999994"/>
        <s v="19589.806049999996"/>
        <s v="19603.101749999994"/>
        <s v="19614.703449999994"/>
        <s v="19620.703649999996"/>
        <s v="19625.879449999997"/>
        <s v="19634.853749999995"/>
        <s v="19647.299649999997"/>
        <s v="19663.212399999993"/>
        <s v="19682.216299999993"/>
        <s v="19697.18639999999"/>
        <s v="19707.650949999992"/>
        <s v="19719.412499999995"/>
        <s v="19732.308299999997"/>
        <s v="19739.97655"/>
        <s v="19745.938"/>
        <s v="19744.6876"/>
        <s v="19744.44935"/>
        <s v="19743.603799999997"/>
        <s v="19747.048300000002"/>
        <s v="19746.862599999997"/>
        <s v="19746.3105"/>
        <s v="19749.3985"/>
        <s v="19751.74575"/>
        <s v="19744.396849999997"/>
        <s v="19734.099799999996"/>
        <s v="19727.96295"/>
        <s v="19732.283900000002"/>
        <s v="19735.002449999996"/>
        <s v="19743.482749999996"/>
        <s v="19750.32285"/>
        <s v="19759.731599999996"/>
        <s v="19767.520499999995"/>
        <s v="19771.89965"/>
        <s v="19776.9721"/>
        <s v="19776.75685"/>
        <s v="19775.500000000004"/>
        <s v="19775.891050000002"/>
        <s v="19771.152100000003"/>
        <s v="19768.334100000004"/>
        <s v="19764.38085"/>
        <s v="19758.958250000003"/>
        <s v="19750.107050000002"/>
        <s v="19741.906850000007"/>
        <s v="19735.410900000003"/>
        <s v="19730.322150000004"/>
        <s v="19734.537600000003"/>
        <s v="19738.784250000004"/>
        <s v="19740.087450000003"/>
        <s v="19733.613100000006"/>
        <s v="19728.595550000005"/>
        <s v="19724.443350000005"/>
        <s v="19729.030150000006"/>
        <s v="19745.249500000005"/>
        <s v="19767.992400000006"/>
        <s v="19791.744800000008"/>
        <s v="19824.508800000007"/>
        <s v="19860.442250000007"/>
        <s v="19895.54365000001"/>
        <s v="19935.128300000008"/>
        <s v="19974.59250000001"/>
        <s v="20016.50845000001"/>
        <s v="20055.96455000001"/>
        <s v="20097.40030000001"/>
        <s v="20135.91580000001"/>
        <s v="20180.634250000014"/>
        <s v="20223.238050000014"/>
        <s v="20253.207800000015"/>
        <s v="20288.23445000001"/>
        <s v="20322.43550000001"/>
        <s v="20352.510150000013"/>
        <s v="20383.669350000015"/>
        <s v="20424.096900000015"/>
        <s v="20463.82050000001"/>
        <s v="20505.61290000001"/>
        <s v="20548.41875000001"/>
        <s v="20588.92010000001"/>
        <s v="20633.57660000001"/>
        <s v="20677.46865000001"/>
        <s v="20722.32845000001"/>
        <s v="20768.944850000014"/>
        <s v="20824.34715000001"/>
        <s v="20878.82965000001"/>
        <s v="20935.07190000001"/>
        <s v="20993.214450000014"/>
        <s v="21044.99800000001"/>
        <s v="21100.97465000001"/>
        <s v="21151.750600000014"/>
        <s v="21205.08375000001"/>
        <s v="21255.021400000012"/>
        <s v="21302.73850000001"/>
        <s v="21346.878300000015"/>
        <s v="21383.80300000001"/>
        <s v="21420.929050000013"/>
        <s v="21457.50350000001"/>
        <s v="21494.926100000008"/>
        <s v="21539.86790000001"/>
        <s v="21588.101100000014"/>
        <s v="21638.187800000007"/>
        <s v="21689.423850000006"/>
        <s v="21740.284950000012"/>
        <s v="21787.470050000014"/>
        <s v="21829.900000000005"/>
        <s v="21876.798300000006"/>
        <s v="21926.381950000003"/>
        <s v="21975.319550000004"/>
        <s v="22023.992900000005"/>
        <s v="22072.580150000005"/>
        <s v="22116.54935"/>
        <s v="22159.312900000004"/>
        <s v="22201.851400000007"/>
        <s v="22243.000300000007"/>
        <s v="22278.25190000001"/>
        <s v="22315.685850000005"/>
        <s v="22346.918250000002"/>
        <s v="22380.64395"/>
        <s v="22414.4586"/>
        <s v="22445.54400000001"/>
        <s v="22478.250400000008"/>
        <s v="22510.15750000001"/>
        <s v="22542.20335000001"/>
        <s v="22574.76780000001"/>
        <s v="22607.683250000006"/>
        <s v="22641.029150000006"/>
        <s v="22667.893850000004"/>
        <s v="22693.135800000004"/>
        <s v="22721.747300000003"/>
        <s v="22756.79600000001"/>
        <s v="22804.166700000012"/>
        <s v="22859.98345000001"/>
        <s v="22913.17290000001"/>
        <s v="22964.62740000001"/>
        <s v="23015.943250000008"/>
        <s v="23068.6987"/>
        <s v="23120.40115"/>
        <s v="23172.938850000002"/>
        <s v="23223.753300000004"/>
        <s v="23268.915550000005"/>
        <s v="23319.47775000001"/>
        <s v="23368.865450000005"/>
        <s v="23421.020000000004"/>
        <s v="23470.192750000002"/>
        <s v="23516.69305"/>
        <s v="23563.071600000007"/>
        <s v="23610.488100000006"/>
        <s v="23657.418350000004"/>
        <s v="23699.738550000005"/>
        <s v="23746.452300000004"/>
        <s v="23796.7469"/>
        <s v="23844.9378"/>
        <s v="23891.619"/>
        <s v="23941.445199999995"/>
        <s v="24001.490550000002"/>
        <s v="24066.990749999997"/>
        <s v="24131.360999999997"/>
        <s v="24199.543749999997"/>
        <s v="24268.525049999993"/>
        <s v="24335.619249999992"/>
        <s v="24402.58255"/>
        <s v="24468.37675"/>
        <s v="24534.776449999994"/>
        <s v="24602.354599999995"/>
        <s v="24667.961949999994"/>
        <s v="24731.532099999997"/>
        <s v="24796.810399999995"/>
        <s v="24866.744099999993"/>
        <s v="24935.733649999987"/>
        <s v="25004.36704999999"/>
        <s v="25071.725999999988"/>
        <s v="25138.791649999992"/>
        <s v="25205.99419999999"/>
        <s v="25272.93254999999"/>
        <s v="25341.29839999999"/>
        <s v="25410.160549999986"/>
        <s v="25478.819549999986"/>
        <s v="25550.669299999987"/>
        <s v="25618.026149999987"/>
        <s v="25686.268649999984"/>
        <s v="25754.410749999985"/>
        <s v="25821.488449999983"/>
        <s v="25888.569649999983"/>
        <s v="25955.698099999983"/>
        <s v="26021.42654999998"/>
        <s v="26087.39689999998"/>
        <s v="26152.72009999998"/>
        <s v="26214.650899999986"/>
        <s v="26276.469649999985"/>
        <s v="26338.039249999983"/>
        <s v="26400.268249999983"/>
        <s v="26460.44919999998"/>
        <s v="26520.772749999982"/>
        <s v="26580.12969999998"/>
        <s v="26635.974449999983"/>
        <s v="26685.966999999982"/>
        <s v="26728.891649999983"/>
        <s v="26770.86809999998"/>
        <s v="26811.210849999985"/>
        <s v="26850.481499999983"/>
        <s v="26889.52584999999"/>
        <s v="26930.638099999996"/>
        <s v="26972.128449999993"/>
        <s v="27006.37065"/>
        <s v="27039.623599999995"/>
        <s v="27072.33755"/>
        <s v="27104.4724"/>
        <s v="27138.101549999992"/>
        <s v="27169.689"/>
        <s v="27201.39685"/>
        <s v="27231.948900000003"/>
        <s v="27257.250650000005"/>
        <s v="27272.862850000012"/>
        <s v="27288.252100000005"/>
        <s v="27303.389200000005"/>
        <s v="27314.566450000006"/>
        <s v="27327.2347"/>
        <s v="27340.46655000001"/>
        <s v="27355.82565000001"/>
        <s v="27371.606600000006"/>
        <s v="27386.91000000001"/>
        <s v="27401.336950000008"/>
        <s v="27418.097850000006"/>
        <s v="27439.446750000003"/>
        <s v="27467.781450000006"/>
        <s v="27494.584350000005"/>
        <s v="27516.096350000007"/>
        <s v="27536.006550000002"/>
        <s v="27552.155950000008"/>
        <s v="27558.491200000004"/>
        <s v="27568.00765000001"/>
        <s v="27573.53940000001"/>
        <s v="27579.03690000001"/>
        <s v="27584.60050000001"/>
        <s v="27590.45290000001"/>
        <s v="27599.234850000008"/>
        <s v="27607.13835000001"/>
        <s v="27617.656200000012"/>
        <s v="27633.004100000006"/>
        <s v="27649.221400000006"/>
        <s v="27664.623050000006"/>
        <s v="27680.244200000005"/>
        <s v="27694.42495"/>
        <s v="27711.034850000004"/>
        <s v="27734.889300000003"/>
        <s v="27758.755750000008"/>
        <s v="27780.00190000001"/>
        <s v="27801.020350000003"/>
        <s v="27821.9487"/>
        <s v="27844.559400000006"/>
        <s v="27867.0816"/>
        <s v="27898.443599999995"/>
        <s v="27927.555249999994"/>
        <s v="27957.064549999996"/>
        <s v="27979.202499999996"/>
        <s v="27990.739249999995"/>
        <s v="28002.738999999994"/>
        <s v="28019.18134999999"/>
        <s v="28024.403449999998"/>
        <s v="28024.965599999996"/>
        <s v="28027.051599999995"/>
        <s v="28025.891699999993"/>
        <s v="28025.674250000004"/>
        <s v="28024.232999999993"/>
        <s v="28023.812549999995"/>
        <s v="28021.334549999992"/>
        <s v="28019.201449999997"/>
        <s v="28014.0965"/>
        <s v="28009.150849999998"/>
        <s v="28008.644699999997"/>
        <s v="28001.389049999994"/>
        <s v="27998.674099999997"/>
        <s v="27999.613999999998"/>
        <s v="27999.254599999997"/>
        <s v="27999.929549999997"/>
        <s v="28007.573749999996"/>
        <s v="28016.081649999996"/>
        <s v="28023.195049999995"/>
        <s v="28036.666749999997"/>
        <s v="28067.412499999995"/>
        <s v="28099.054249999997"/>
        <s v="28130.5699"/>
        <s v="28158.988999999994"/>
        <s v="28178.775699999995"/>
        <s v="28200.397049999996"/>
        <s v="28221.512899999994"/>
        <s v="28239.963599999995"/>
        <s v="28260.314849999988"/>
        <s v="28284.973049999993"/>
        <s v="28309.887799999993"/>
        <s v="28332.979499999998"/>
        <s v="28361.8646"/>
        <s v="28392.917"/>
        <s v="28427.2201"/>
        <s v="28467.2897"/>
        <s v="28512.33025"/>
        <s v="28559.88945"/>
        <s v="28608.35415"/>
        <s v="28651.427000000003"/>
        <s v="28690.415099999995"/>
        <s v="28725.49355"/>
        <s v="28759.511950000004"/>
        <s v="28799.214900000003"/>
        <s v="28838.519000000004"/>
        <s v="28880.441150000002"/>
        <s v="28920.684200000003"/>
        <s v="28961.906100000004"/>
        <s v="29001.78075"/>
        <s v="29038.107450000007"/>
        <s v="29080.076950000006"/>
        <s v="29128.940500000008"/>
        <s v="29179.768600000003"/>
        <s v="29229.8516"/>
        <s v="29278.378250000005"/>
        <s v="29332.65400000001"/>
        <s v="29388.280500000008"/>
        <s v="29442.727950000008"/>
        <s v="29497.954000000005"/>
        <s v="29556.60745"/>
        <s v="29619.23700000001"/>
        <s v="29690.978050000005"/>
        <s v="29765.83565"/>
        <s v="29850.607450000007"/>
        <s v="29933.47685"/>
        <s v="30017.548100000004"/>
        <s v="30101.094700000005"/>
        <s v="30186.706500000015"/>
        <s v="30265.66945000001"/>
        <s v="30341.36220000001"/>
        <s v="30414.39540000001"/>
        <s v="30492.766850000015"/>
        <s v="30566.397800000013"/>
        <s v="30638.838000000007"/>
        <s v="30712.715050000013"/>
        <s v="30784.366300000012"/>
        <s v="30863.30560000001"/>
        <s v="30942.112650000014"/>
        <s v="31024.74690000001"/>
        <s v="31109.706000000017"/>
        <s v="31199.390450000014"/>
        <s v="31283.98770000001"/>
        <s v="31368.314650000008"/>
        <s v="31449.261550000007"/>
        <s v="31535.356750000006"/>
        <s v="31621.182800000002"/>
        <s v="31704.472400000006"/>
        <s v="31785.16730000001"/>
        <s v="31867.74975000001"/>
        <s v="31956.10055000001"/>
        <s v="32054.522400000013"/>
        <s v="32140.841500000013"/>
        <s v="32224.330000000013"/>
        <s v="32311.112400000013"/>
        <s v="32395.89330000001"/>
        <s v="32471.34735000001"/>
        <s v="32544.789050000018"/>
        <s v="32627.90685000001"/>
        <s v="32704.235900000014"/>
        <s v="32783.39310000001"/>
        <s v="32861.39210000001"/>
        <s v="32922.585750000006"/>
        <s v="32984.975300000006"/>
        <s v="33045.85860000001"/>
        <s v="33107.8939"/>
        <s v="33168.60645000001"/>
        <s v="33228.64265000001"/>
        <s v="33281.377850000004"/>
        <s v="33334.315500000004"/>
        <s v="33390.073200000006"/>
        <s v="33441.53695"/>
        <s v="33487.3471"/>
        <s v="33535.7297"/>
        <s v="33584.07045"/>
        <s v="33638.6432"/>
        <s v="33695.095"/>
        <s v="33753.49795"/>
        <s v="33811.91269999999"/>
        <s v="33872.85964999999"/>
        <s v="33935.86025"/>
        <s v="33995.359899999996"/>
        <s v="34059.50895"/>
        <s v="34125.07194999999"/>
        <s v="34189.61595"/>
        <s v="34253.26730000001"/>
        <s v="34318.32265000001"/>
        <s v="34384.274300000005"/>
        <s v="34458.414000000004"/>
        <s v="34547.657400000004"/>
        <s v="34638.43925"/>
        <s v="34733.0278"/>
        <s v="34827.9406"/>
        <s v="34930.98405"/>
        <s v="35041.69965"/>
        <s v="35155.73935"/>
        <s v="35268.95455"/>
        <s v="35382.878950000006"/>
        <s v="35494.3933"/>
        <s v="35609.146550000005"/>
        <s v="35722.82345"/>
        <s v="35834.48755"/>
        <s v="35947.19945"/>
        <s v="36057.323749999996"/>
        <s v="36165.89245"/>
        <s v="36275.37654999999"/>
        <s v="36385.59229999999"/>
        <s v="36522.110799999995"/>
        <s v="36671.84289999999"/>
        <s v="36836.05909999999"/>
        <s v="36998.86175"/>
        <s v="37162.1069"/>
        <s v="37327.167050000004"/>
        <s v="37510.665700000005"/>
        <s v="37713.63935"/>
        <s v="37915.81525000001"/>
        <s v="38119.671850000006"/>
        <s v="38327.01885"/>
        <s v="38538.95920000001"/>
        <s v="38756.017400000004"/>
        <s v="38983.001050000006"/>
        <s v="39211.49340000001"/>
        <s v="39445.90995000001"/>
        <s v="39679.8496"/>
        <s v="39890.701850000005"/>
        <s v="40101.9231"/>
        <s v="40299.91255"/>
        <s v="40502.9475"/>
        <s v="40694.384900000005"/>
        <s v="40882.04005"/>
        <s v="41086.941300000006"/>
        <s v="41279.25815000001"/>
        <s v="41473.51860000001"/>
        <s v="41671.33405000001"/>
        <s v="41879.61410000001"/>
        <s v="42101.55980000002"/>
        <s v="42322.13870000001"/>
        <s v="42546.20380000002"/>
        <s v="42768.38600000003"/>
        <s v="42988.692400000014"/>
        <s v="43210.0998"/>
        <s v="43426.02240000001"/>
        <s v="43623.3154"/>
        <s v="43820.972649999996"/>
        <s v="44021.10845000001"/>
        <s v="44225.27505000001"/>
        <s v="44429.5904"/>
        <s v="44640.87860000001"/>
        <s v="44865.89250000001"/>
        <s v="45084.88750000001"/>
        <s v="45297.86510000001"/>
        <s v="45517.697250000005"/>
        <s v="45738.39125000001"/>
        <s v="45943.73205000001"/>
        <s v="46133.76480000001"/>
        <s v="46327.64090000003"/>
        <s v="46508.10620000002"/>
        <s v="46686.818800000015"/>
        <s v="46863.098050000015"/>
        <s v="47044.631300000015"/>
        <s v="47227.25820000001"/>
        <s v="47414.51315000001"/>
        <s v="47606.71560000002"/>
        <s v="47800.33440000002"/>
        <s v="47992.52105000001"/>
        <s v="48174.265150000014"/>
        <s v="48357.25355000002"/>
        <s v="48534.47915000002"/>
        <s v="48717.41040000003"/>
        <s v="48897.54320000003"/>
        <s v="49069.99445000003"/>
        <s v="49224.89920000003"/>
        <s v="49383.17985000003"/>
        <s v="49542.66530000003"/>
        <s v="49718.36680000003"/>
        <s v="49895.34040000004"/>
        <s v="50072.27345000004"/>
        <s v="50242.12305000003"/>
        <s v="50404.721100000024"/>
        <s v="50562.820800000016"/>
        <s v="50723.41740000002"/>
        <s v="50857.48290000002"/>
        <s v="50991.422350000015"/>
        <s v="51133.654300000024"/>
        <s v="51272.49040000001"/>
        <s v="51415.89130000002"/>
        <s v="51573.97265000002"/>
        <s v="51733.53105000002"/>
        <s v="51896.228000000025"/>
        <s v="52058.61915000003"/>
        <s v="52217.92410000003"/>
        <s v="52399.47910000002"/>
        <s v="52574.88265000002"/>
        <s v="52746.339600000036"/>
        <s v="52910.50030000003"/>
        <s v="53081.08430000003"/>
        <s v="53249.300200000034"/>
        <s v="53411.33035000003"/>
        <s v="53567.52615000002"/>
        <s v="53720.97825000002"/>
        <s v="53875.95835000003"/>
        <s v="54032.12440000002"/>
        <s v="54188.596350000014"/>
        <s v="54346.784200000024"/>
        <s v="54505.80285000002"/>
        <s v="54669.92690000001"/>
        <s v="54842.7119"/>
        <s v="55014.73995"/>
        <s v="55183.49495"/>
        <s v="55344.33855000001"/>
        <s v="55508.565149999995"/>
        <s v="55669.62025000001"/>
        <s v="55817.857149999996"/>
        <s v="55968.28684999999"/>
        <s v="56116.8601"/>
        <s v="56265.024949999985"/>
        <s v="56409.70424999999"/>
        <s v="56552.309749999986"/>
        <s v="56694.99714999998"/>
        <s v="56829.00349999998"/>
        <s v="56960.73404999998"/>
        <s v="57088.748699999975"/>
        <s v="57201.256849999976"/>
        <s v="57313.37084999997"/>
        <s v="57415.53214999997"/>
        <s v="57504.43329999996"/>
        <s v="57592.663599999956"/>
        <s v="57680.08639999996"/>
        <s v="57767.32999999995"/>
        <s v="57863.87609999995"/>
        <s v="57960.173699999956"/>
        <s v="58060.90349999995"/>
        <s v="58161.79879999995"/>
        <s v="58261.672599999954"/>
        <s v="58352.31369999995"/>
        <s v="58433.843649999944"/>
        <s v="58507.68484999994"/>
        <s v="58576.99784999995"/>
        <s v="58649.237199999945"/>
        <s v="58712.24104999994"/>
        <s v="58780.753349999926"/>
        <s v="58851.18049999993"/>
        <s v="58922.06379999993"/>
        <s v="58992.352049999936"/>
        <s v="59071.92229999994"/>
        <s v="59157.38969999994"/>
        <s v="59256.93454999993"/>
        <s v="59367.007549999944"/>
        <s v="59482.01069999994"/>
        <s v="59592.39074999993"/>
        <s v="59700.42849999994"/>
        <s v="59807.52229999994"/>
        <s v="59924.18029999995"/>
        <s v="60046.00224999995"/>
        <s v="60159.88764999994"/>
        <s v="60270.663049999945"/>
        <s v="60372.29499999995"/>
        <s v="60484.93989999994"/>
        <s v="60592.23339999994"/>
        <s v="60702.36979999994"/>
        <s v="60816.155249999945"/>
        <s v="60918.61594999994"/>
        <s v="61034.95059999994"/>
        <s v="61142.45364999994"/>
        <s v="61250.71359999994"/>
        <s v="61343.92194999994"/>
        <s v="61433.065149999944"/>
        <s v="61489.62349999994"/>
        <s v="61562.81899999994"/>
        <s v="61638.60769999994"/>
        <s v="61717.15379999994"/>
        <s v="61816.264449999944"/>
        <s v="61923.17009999996"/>
        <s v="62027.29634999996"/>
        <s v="83728.46430000002"/>
        <s v="83840.86465000002"/>
        <s v="83963.36555000002"/>
        <s v="84083.34415"/>
        <s v="84201.03"/>
        <s v="84324.62440000002"/>
        <s v="84460.92385000002"/>
        <s v="84589.42190000002"/>
        <s v="84715.85715000001"/>
        <s v="84855.59150000001"/>
        <s v="85009.08050000003"/>
        <s v="85167.14530000002"/>
        <s v="85332.32115"/>
        <s v="85497.09829999998"/>
        <s v="85646.02145"/>
        <s v="85773.6151"/>
        <s v="85904.27885"/>
        <s v="86025.17875"/>
        <s v="86155.04104999999"/>
        <s v="86279.28814999998"/>
        <s v="86394.10109999997"/>
        <s v="86518.04679999998"/>
        <s v="86639.10969999999"/>
        <s v="86751.9875"/>
        <s v="86829.3206"/>
        <s v="86908.60635000002"/>
        <s v="86979.66425000003"/>
        <s v="87072.69710000003"/>
        <s v="87166.02605000003"/>
        <s v="87267.04490000004"/>
        <s v="87370.73395000005"/>
        <s v="87472.13965000004"/>
        <s v="87569.67515000004"/>
        <s v="87660.34655000003"/>
        <s v="87754.54860000004"/>
        <s v="87858.40590000001"/>
        <s v="87967.25655000003"/>
        <s v="88083.85985000001"/>
        <s v="88216.66350000004"/>
        <s v="88353.03345000003"/>
        <s v="88510.92820000001"/>
        <s v="88665.74410000003"/>
        <s v="88820.68875000002"/>
        <s v="88980.48060000001"/>
        <s v="89140.6104"/>
        <s v="89309.63575000002"/>
        <s v="89478.25075000004"/>
        <s v="89636.36575000001"/>
        <s v="89803.87895"/>
        <s v="89964.48254999999"/>
        <s v="90116.97969999998"/>
        <s v="90256.78129999997"/>
        <s v="90392.52764999999"/>
        <s v="90524.38114999999"/>
        <s v="90667.41404999998"/>
        <s v="90823.19764999999"/>
        <s v="90996.95169999996"/>
        <s v="91177.18064999998"/>
        <s v="91365.52409999997"/>
        <s v="91548.38724999996"/>
        <s v="91727.83489999996"/>
        <s v="91910.79694999996"/>
        <s v="92088.73539999995"/>
        <s v="92264.86864999995"/>
        <s v="92424.45109999993"/>
        <s v="92582.75749999992"/>
        <s v="92744.84724999993"/>
        <s v="92925.99964999994"/>
        <s v="93113.55834999993"/>
        <s v="93326.62159999994"/>
        <s v="93532.32894999994"/>
        <s v="93730.87509999992"/>
        <s v="93897.04089999995"/>
        <s v="94068.83154999994"/>
        <s v="94236.01549999995"/>
        <s v="94397.43009999995"/>
        <s v="94538.85474999998"/>
        <s v="94656.30909999998"/>
        <s v="94734.77709999998"/>
        <s v="94816.55774999996"/>
        <s v="94890.85459999998"/>
        <s v="94972.54185000001"/>
        <s v="95043.67489999998"/>
        <s v="95114.78265000001"/>
        <s v="95180.35294999999"/>
        <s v="95247.80165"/>
        <s v="95308.38424999999"/>
        <s v="95358.99774999998"/>
        <s v="95412.04129999997"/>
        <s v="95467.05014999998"/>
        <s v="95515.39229999996"/>
        <s v="95552.10534999998"/>
        <s v="95612.52924999996"/>
        <s v="95671.89164999998"/>
        <s v="95729.61999999997"/>
        <s v="95772.97829999999"/>
        <s v="95813.57759999996"/>
        <s v="95851.80639999994"/>
        <s v="95895.45564999996"/>
        <s v="95934.74344999995"/>
        <s v="95964.30169999994"/>
        <s v="95962.93644999994"/>
        <s v="95999.04974999995"/>
        <s v="96035.94419999994"/>
        <s v="96073.45029999994"/>
        <s v="96115.75794999994"/>
        <s v="96166.94329999993"/>
        <s v="96213.02914999993"/>
        <s v="96247.06134999995"/>
        <s v="96278.22034999996"/>
        <s v="96309.35139999996"/>
        <s v="96343.84259999996"/>
        <s v="96362.32269999996"/>
        <s v="96369.38069999997"/>
        <s v="96389.49999999996"/>
        <s v="96429.11894999997"/>
        <s v="96486.64654999999"/>
        <s v="96544.63914999997"/>
        <s v="96618.85969999997"/>
        <s v="96733.26534999996"/>
        <s v="96849.0979"/>
        <s v="96948.57829999996"/>
        <s v="97071.26929999996"/>
        <s v="97178.51144999996"/>
        <s v="97299.87014999997"/>
        <s v="97419.02094999998"/>
        <s v="97545.90474999996"/>
        <s v="97667.81009999997"/>
        <s v="97789.71039999997"/>
        <s v="97898.17695000001"/>
        <s v="98007.50444999998"/>
        <s v="98109.67390000001"/>
        <s v="98212.741"/>
        <s v="98296.01770000001"/>
        <s v="98381.2926"/>
        <s v="98495.81245000003"/>
        <s v="98622.56520000003"/>
        <s v="98740.46395000005"/>
        <s v="98857.82365000003"/>
        <s v="98977.07090000005"/>
        <s v="99086.65635000005"/>
        <s v="99173.03225000003"/>
        <s v="99255.21685000003"/>
        <s v="99331.06925000003"/>
        <s v="99390.09135000002"/>
        <s v="99441.71415000003"/>
        <s v="99499.48985000001"/>
        <s v="99562.60735000003"/>
        <s v="99628.38225000004"/>
        <s v="99695.96875000004"/>
        <s v="99782.69305000003"/>
        <s v="99852.40845000003"/>
        <s v="99932.0222"/>
        <s v="100011.93974999998"/>
        <s v="100102.34584999998"/>
        <s v="100177.81209999997"/>
        <s v="100256.27184999996"/>
        <s v="100309.00139999995"/>
        <s v="100362.14639999995"/>
        <s v="100420.18914999995"/>
        <s v="100491.18694999994"/>
        <s v="100579.26944999995"/>
        <s v="100660.07089999996"/>
        <s v="100744.15724999995"/>
        <s v="100816.80134999994"/>
        <s v="100880.26314999994"/>
        <s v="100955.76509999992"/>
        <s v="101035.66904999994"/>
        <s v="101098.41899999994"/>
        <s v="101152.6389499999"/>
        <s v="101216.51754999992"/>
        <s v="101279.42089999992"/>
        <s v="101346.61449999994"/>
        <s v="101416.03874999992"/>
        <s v="101483.70534999995"/>
        <s v="101559.75029999996"/>
        <s v="101635.69234999995"/>
        <s v="101711.03939999994"/>
        <s v="101784.92549999994"/>
        <s v="101852.21704999992"/>
        <s v="101933.05064999993"/>
        <s v="102023.52059999993"/>
        <s v="102122.86344999993"/>
        <s v="102257.79349999994"/>
        <s v="102396.06439999996"/>
        <s v="102546.78639999997"/>
        <s v="102716.12389999996"/>
        <s v="102871.97909999998"/>
        <s v="103028.04599999997"/>
        <s v="103150.66464999998"/>
        <s v="103310.28884999998"/>
        <s v="103443.32745"/>
        <s v="103554.26715"/>
        <s v="103677.79495"/>
        <s v="103812.19339999997"/>
        <s v="103946.28554999997"/>
        <s v="104086.07819999996"/>
        <s v="104226.93909999996"/>
        <s v="104361.67049999996"/>
        <s v="104508.43359999996"/>
        <s v="104661.71084999997"/>
        <s v="104823.26719999997"/>
        <s v="104999.55014999997"/>
        <s v="105184.19889999994"/>
        <s v="105381.95194999996"/>
        <s v="105578.83894999996"/>
        <s v="105774.04299999995"/>
        <s v="105973.37184999997"/>
        <s v="106165.44894999998"/>
        <s v="106350.72794999999"/>
        <s v="106520.28249999999"/>
        <s v="106643.53709999999"/>
        <s v="106766.32324999999"/>
        <s v="106906.00044999996"/>
        <s v="107044.36494999997"/>
        <s v="107191.16889999995"/>
        <s v="107330.80624999997"/>
        <s v="107452.77794999995"/>
        <s v="107567.16479999995"/>
        <s v="107681.91679999996"/>
        <s v="107820.95294999995"/>
        <s v="107951.98584999994"/>
        <s v="108075.30889999995"/>
        <s v="108209.29704999995"/>
        <s v="108372.96049999993"/>
        <s v="108535.13644999992"/>
        <s v="108715.07944999993"/>
        <s v="108883.03094999993"/>
        <s v="109043.44194999993"/>
        <s v="109187.72304999993"/>
        <s v="109309.61849999994"/>
        <s v="109434.33359999994"/>
        <s v="109558.74809999992"/>
        <s v="109690.72624999992"/>
        <s v="109805.34124999994"/>
        <s v="109902.09099999996"/>
        <s v="109988.17319999996"/>
        <s v="110079.19489999994"/>
        <s v="110151.80909999997"/>
        <s v="110219.49139999996"/>
        <s v="110262.18904999996"/>
        <s v="110326.64589999994"/>
        <s v="110378.99534999994"/>
        <s v="110423.41134999994"/>
        <s v="110463.49514999994"/>
        <s v="110474.84734999995"/>
        <s v="110479.86509999997"/>
        <s v="110484.30449999995"/>
        <s v="110477.54269999996"/>
        <s v="110450.18994999997"/>
        <s v="110425.26374999998"/>
        <s v="110406.03569999998"/>
        <s v="110357.97629999997"/>
        <s v="110307.89304999998"/>
        <s v="110256.0771"/>
        <s v="110193.21234999999"/>
        <s v="110115.42434999999"/>
        <s v="110036.35424999999"/>
        <s v="109972.54705"/>
        <s v="109908.9295"/>
        <s v="109844.62784999999"/>
        <s v="109783.04324999997"/>
        <s v="109700.07459999998"/>
        <s v="109617.71249999998"/>
        <s v="109566.94444999997"/>
        <s v="109512.24194999997"/>
        <s v="109445.84049999998"/>
        <s v="109365.26089999996"/>
        <s v="109277.71789999997"/>
        <s v="109178.57815"/>
        <s v="109082.58959999999"/>
        <s v="109002.14464999997"/>
        <s v="108915.68969999999"/>
        <s v="108828.82784999999"/>
        <s v="108732.46310000001"/>
        <s v="108636.61720000002"/>
        <s v="108543.80150000002"/>
        <s v="108451.32100000004"/>
        <s v="108365.38605000003"/>
        <s v="108275.67050000001"/>
        <s v="108191.0098"/>
        <s v="108104.08335000002"/>
        <s v="108018.5654"/>
        <s v="107940.28125"/>
        <s v="107858.90335000001"/>
        <s v="107768.27375"/>
        <s v="107678.30154999999"/>
        <s v="107582.92885000001"/>
        <s v="107472.66790000001"/>
        <s v="107363.58630000001"/>
        <s v="107263.79565000001"/>
        <s v="107178.54565000001"/>
        <s v="107094.65075000002"/>
        <s v="107006.27135000004"/>
        <s v="106918.13385000004"/>
        <s v="106840.02250000004"/>
        <s v="106772.01820000003"/>
        <s v="106713.32105000004"/>
        <s v="106658.22155000003"/>
        <s v="106600.42110000004"/>
        <s v="106542.80375000002"/>
        <s v="106487.63975000002"/>
        <s v="106412.90145000003"/>
        <s v="106330.43725000003"/>
        <s v="106250.09730000004"/>
        <s v="106175.25120000003"/>
        <s v="106115.77560000002"/>
        <s v="106060.16475000004"/>
        <s v="105999.09470000005"/>
        <s v="105942.86490000004"/>
        <s v="105879.65420000005"/>
        <s v="105796.54330000006"/>
        <s v="105707.20745000006"/>
        <s v="105612.67545000007"/>
        <s v="105520.58800000008"/>
        <s v="105424.70750000009"/>
        <s v="105329.24820000006"/>
        <s v="105226.54365000007"/>
        <s v="105108.96210000006"/>
        <s v="104962.02985000006"/>
        <s v="104820.13470000008"/>
        <s v="104667.87005000007"/>
        <s v="104479.90865000006"/>
        <s v="104308.49865000005"/>
        <s v="104106.09660000006"/>
        <s v="103902.1126000001"/>
        <s v="103698.2900000001"/>
        <s v="103486.8169500001"/>
        <s v="103246.19000000009"/>
        <s v="102987.25955000012"/>
        <s v="102739.65655000009"/>
        <s v="102499.98815000006"/>
        <s v="102258.17310000007"/>
        <s v="102022.57375000005"/>
        <s v="101768.69505000004"/>
        <s v="101513.21425000005"/>
        <s v="101254.73660000003"/>
        <s v="101011.90430000004"/>
        <s v="100770.25915000003"/>
        <s v="100521.09380000005"/>
        <s v="100286.07790000003"/>
        <s v="100054.99160000002"/>
        <s v="99820.07085000003"/>
        <s v="99584.54930000003"/>
        <s v="99354.12730000004"/>
        <s v="99122.46760000005"/>
        <s v="98867.14740000002"/>
        <s v="98602.29070000003"/>
        <s v="98349.31695000002"/>
        <s v="98097.12"/>
        <s v="97827.06604999998"/>
        <s v="97557.80615"/>
        <s v="97287.635"/>
        <s v="97016.93175000003"/>
        <s v="96765.00455"/>
        <s v="96533.0986"/>
        <s v="96305.20195000002"/>
        <s v="96077.52700000003"/>
        <s v="95841.99420000002"/>
        <s v="95609.56095000001"/>
        <s v="95382.88449999999"/>
        <s v="95167.94399999999"/>
        <s v="94941.73525"/>
        <s v="94718.87800000001"/>
        <s v="94516.67395"/>
        <s v="94319.56219999999"/>
        <s v="94120.39294999998"/>
        <s v="93926.41214999997"/>
        <s v="93748.32279999998"/>
        <s v="93570.36159999996"/>
        <s v="93377.13489999999"/>
        <s v="93185.68594999997"/>
        <s v="92986.67004999999"/>
        <s v="92773.11975000001"/>
        <s v="92570.80535"/>
        <s v="92366.2567"/>
        <s v="92167.76699999999"/>
        <s v="91959.4962"/>
        <s v="91732.62764999998"/>
        <s v="91506.11554999997"/>
        <s v="91275.38159999998"/>
        <s v="91040.44554999997"/>
        <s v="90800.93959999997"/>
        <s v="90563.27934999997"/>
        <s v="90318.19154999997"/>
        <s v="90076.3874"/>
        <s v="89833.31955"/>
        <s v="89587.04609999999"/>
        <s v="89347.68519999999"/>
        <s v="89108.68735"/>
        <s v="88887.16229999998"/>
        <s v="88665.21839999998"/>
        <s v="88462.03444999998"/>
        <s v="88262.70944999998"/>
        <s v="88054.70429999998"/>
        <s v="87852.6152"/>
        <s v="87677.30919999997"/>
        <s v="87501.56994999998"/>
        <s v="87327.85854999999"/>
        <s v="87146.04875000002"/>
        <s v="86957.39535000002"/>
        <s v="86751.37790000005"/>
        <s v="86532.53590000003"/>
        <s v="86309.57990000006"/>
        <s v="86089.75865000002"/>
        <s v="85863.50680000003"/>
        <s v="85629.7726"/>
        <s v="85397.73840000002"/>
        <s v="85175.0096"/>
        <s v="84954.88009999998"/>
        <s v="84730.18849999999"/>
        <s v="84552.8524"/>
        <s v="84374.67435"/>
        <s v="84187.21359999999"/>
        <s v="84015.29135"/>
        <s v="83848.36034999999"/>
        <s v="83693.74649999998"/>
        <s v="83565.83789999998"/>
        <s v="83438.40119999998"/>
        <s v="83303.646"/>
        <s v="83149.25529999999"/>
        <s v="83004.02639999999"/>
        <s v="82867.65819999999"/>
        <s v="82725.75954999999"/>
        <s v="82574.70674999998"/>
        <s v="82419.583"/>
      </sharedItems>
    </cacheField>
    <cacheField name="Months (DateTime)" numFmtId="0" databaseField="0">
      <fieldGroup base="0">
        <rangePr groupBy="months" startDate="2010-07-17T00:00:00" endDate="2026-05-14T00:00:00"/>
        <groupItems count="14">
          <s v="&lt;2010-07-17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026-05-14"/>
        </groupItems>
      </fieldGroup>
    </cacheField>
    <cacheField name="Quarters (DateTime)" numFmtId="0" databaseField="0">
      <fieldGroup base="0">
        <rangePr groupBy="quarters" startDate="2010-07-17T00:00:00" endDate="2026-05-14T00:00:00"/>
        <groupItems count="6">
          <s v="&lt;2010-07-17"/>
          <s v="Qtr1"/>
          <s v="Qtr2"/>
          <s v="Qtr3"/>
          <s v="Qtr4"/>
          <s v="&gt;2026-05-14"/>
        </groupItems>
      </fieldGroup>
    </cacheField>
    <cacheField name="Years (DateTime)" numFmtId="0" databaseField="0">
      <fieldGroup base="0">
        <rangePr groupBy="years" startDate="2010-07-17T00:00:00" endDate="2026-05-14T00:00:00"/>
        <groupItems count="19">
          <s v="&lt;2010-07-17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026-05-1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D4B27F-3223-4522-AF7F-F1353E92B450}" name="PivotTable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9">
  <location ref="D2:E126" firstHeaderRow="1" firstDataRow="1" firstDataCol="1"/>
  <pivotFields count="5">
    <pivotField showAll="0">
      <items count="63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t="default"/>
      </items>
    </pivotField>
    <pivotField dataField="1" showAll="0">
      <items count="5380">
        <item x="0"/>
        <item x="78"/>
        <item x="95"/>
        <item x="91"/>
        <item x="87"/>
        <item x="94"/>
        <item x="84"/>
        <item x="61"/>
        <item x="85"/>
        <item x="92"/>
        <item x="1"/>
        <item x="82"/>
        <item x="93"/>
        <item x="86"/>
        <item x="102"/>
        <item x="90"/>
        <item x="60"/>
        <item x="97"/>
        <item x="59"/>
        <item x="54"/>
        <item x="111"/>
        <item x="103"/>
        <item x="83"/>
        <item x="108"/>
        <item x="101"/>
        <item x="76"/>
        <item x="71"/>
        <item x="77"/>
        <item x="96"/>
        <item x="41"/>
        <item x="106"/>
        <item x="99"/>
        <item x="107"/>
        <item x="109"/>
        <item x="105"/>
        <item x="80"/>
        <item x="2"/>
        <item x="110"/>
        <item x="89"/>
        <item x="98"/>
        <item x="58"/>
        <item x="100"/>
        <item x="69"/>
        <item x="74"/>
        <item x="79"/>
        <item x="57"/>
        <item x="63"/>
        <item x="81"/>
        <item x="73"/>
        <item x="45"/>
        <item x="68"/>
        <item x="75"/>
        <item x="48"/>
        <item x="64"/>
        <item x="65"/>
        <item x="67"/>
        <item x="53"/>
        <item x="72"/>
        <item x="15"/>
        <item x="49"/>
        <item x="52"/>
        <item x="66"/>
        <item x="104"/>
        <item x="62"/>
        <item x="70"/>
        <item x="14"/>
        <item x="112"/>
        <item x="3"/>
        <item x="4"/>
        <item x="56"/>
        <item x="18"/>
        <item x="19"/>
        <item x="38"/>
        <item x="44"/>
        <item x="88"/>
        <item x="13"/>
        <item x="113"/>
        <item x="39"/>
        <item x="37"/>
        <item x="36"/>
        <item x="10"/>
        <item x="8"/>
        <item x="9"/>
        <item x="40"/>
        <item x="50"/>
        <item x="20"/>
        <item x="24"/>
        <item x="12"/>
        <item x="11"/>
        <item x="43"/>
        <item x="22"/>
        <item x="35"/>
        <item x="27"/>
        <item x="31"/>
        <item x="21"/>
        <item x="28"/>
        <item x="5"/>
        <item x="33"/>
        <item x="55"/>
        <item x="7"/>
        <item x="51"/>
        <item x="25"/>
        <item x="6"/>
        <item x="42"/>
        <item x="46"/>
        <item x="29"/>
        <item x="32"/>
        <item x="30"/>
        <item x="47"/>
        <item x="34"/>
        <item x="123"/>
        <item x="23"/>
        <item x="26"/>
        <item x="120"/>
        <item x="128"/>
        <item x="119"/>
        <item x="127"/>
        <item x="144"/>
        <item x="118"/>
        <item x="142"/>
        <item x="126"/>
        <item x="125"/>
        <item x="122"/>
        <item x="114"/>
        <item x="143"/>
        <item x="124"/>
        <item x="147"/>
        <item x="121"/>
        <item x="117"/>
        <item x="135"/>
        <item x="134"/>
        <item x="133"/>
        <item x="141"/>
        <item x="140"/>
        <item x="137"/>
        <item x="17"/>
        <item x="132"/>
        <item x="158"/>
        <item x="116"/>
        <item x="149"/>
        <item x="16"/>
        <item x="145"/>
        <item x="138"/>
        <item x="148"/>
        <item x="139"/>
        <item x="130"/>
        <item x="129"/>
        <item x="152"/>
        <item x="156"/>
        <item x="136"/>
        <item x="115"/>
        <item x="146"/>
        <item x="131"/>
        <item x="153"/>
        <item x="157"/>
        <item x="151"/>
        <item x="154"/>
        <item x="150"/>
        <item x="155"/>
        <item x="166"/>
        <item x="167"/>
        <item x="160"/>
        <item x="168"/>
        <item x="162"/>
        <item x="159"/>
        <item x="164"/>
        <item x="165"/>
        <item x="170"/>
        <item x="163"/>
        <item x="161"/>
        <item x="169"/>
        <item x="171"/>
        <item x="175"/>
        <item x="172"/>
        <item x="174"/>
        <item x="193"/>
        <item x="176"/>
        <item x="189"/>
        <item x="196"/>
        <item x="185"/>
        <item x="180"/>
        <item x="182"/>
        <item x="192"/>
        <item x="173"/>
        <item x="195"/>
        <item x="197"/>
        <item x="178"/>
        <item x="198"/>
        <item x="179"/>
        <item x="181"/>
        <item x="177"/>
        <item x="190"/>
        <item x="187"/>
        <item x="188"/>
        <item x="194"/>
        <item x="186"/>
        <item x="184"/>
        <item x="191"/>
        <item x="183"/>
        <item x="203"/>
        <item x="206"/>
        <item x="201"/>
        <item x="200"/>
        <item x="207"/>
        <item x="204"/>
        <item x="199"/>
        <item x="208"/>
        <item x="205"/>
        <item x="215"/>
        <item x="202"/>
        <item x="212"/>
        <item x="210"/>
        <item x="216"/>
        <item x="213"/>
        <item x="209"/>
        <item x="211"/>
        <item x="214"/>
        <item x="218"/>
        <item x="219"/>
        <item x="252"/>
        <item x="217"/>
        <item x="221"/>
        <item x="224"/>
        <item x="249"/>
        <item x="253"/>
        <item x="223"/>
        <item x="226"/>
        <item x="251"/>
        <item x="220"/>
        <item x="222"/>
        <item x="230"/>
        <item x="250"/>
        <item x="248"/>
        <item x="239"/>
        <item x="238"/>
        <item x="225"/>
        <item x="245"/>
        <item x="231"/>
        <item x="233"/>
        <item x="227"/>
        <item x="242"/>
        <item x="243"/>
        <item x="241"/>
        <item x="235"/>
        <item x="229"/>
        <item x="232"/>
        <item x="247"/>
        <item x="236"/>
        <item x="244"/>
        <item x="228"/>
        <item x="234"/>
        <item x="246"/>
        <item x="237"/>
        <item x="270"/>
        <item x="257"/>
        <item x="240"/>
        <item x="255"/>
        <item x="254"/>
        <item x="264"/>
        <item x="260"/>
        <item x="267"/>
        <item x="263"/>
        <item x="258"/>
        <item x="276"/>
        <item x="266"/>
        <item x="256"/>
        <item x="271"/>
        <item x="268"/>
        <item x="272"/>
        <item x="280"/>
        <item x="265"/>
        <item x="261"/>
        <item x="259"/>
        <item x="269"/>
        <item x="281"/>
        <item x="282"/>
        <item x="273"/>
        <item x="262"/>
        <item x="274"/>
        <item x="284"/>
        <item x="285"/>
        <item x="275"/>
        <item x="278"/>
        <item x="288"/>
        <item x="287"/>
        <item x="291"/>
        <item x="277"/>
        <item x="289"/>
        <item x="279"/>
        <item x="283"/>
        <item x="297"/>
        <item x="295"/>
        <item x="286"/>
        <item x="292"/>
        <item x="290"/>
        <item x="298"/>
        <item x="293"/>
        <item x="301"/>
        <item x="300"/>
        <item x="299"/>
        <item x="294"/>
        <item x="296"/>
        <item x="304"/>
        <item x="303"/>
        <item x="302"/>
        <item x="305"/>
        <item x="309"/>
        <item x="307"/>
        <item x="308"/>
        <item x="311"/>
        <item x="310"/>
        <item x="306"/>
        <item x="312"/>
        <item x="315"/>
        <item x="313"/>
        <item x="317"/>
        <item x="316"/>
        <item x="314"/>
        <item x="321"/>
        <item x="320"/>
        <item x="318"/>
        <item x="322"/>
        <item x="319"/>
        <item x="323"/>
        <item x="324"/>
        <item x="330"/>
        <item x="329"/>
        <item x="331"/>
        <item x="327"/>
        <item x="325"/>
        <item x="326"/>
        <item x="328"/>
        <item x="341"/>
        <item x="333"/>
        <item x="334"/>
        <item x="342"/>
        <item x="343"/>
        <item x="332"/>
        <item x="339"/>
        <item x="340"/>
        <item x="337"/>
        <item x="336"/>
        <item x="335"/>
        <item x="345"/>
        <item x="354"/>
        <item x="364"/>
        <item x="357"/>
        <item x="356"/>
        <item x="361"/>
        <item x="344"/>
        <item x="338"/>
        <item x="362"/>
        <item x="353"/>
        <item x="358"/>
        <item x="360"/>
        <item x="352"/>
        <item x="351"/>
        <item x="350"/>
        <item x="346"/>
        <item x="347"/>
        <item x="348"/>
        <item x="349"/>
        <item x="359"/>
        <item x="366"/>
        <item x="355"/>
        <item x="363"/>
        <item x="369"/>
        <item x="367"/>
        <item x="365"/>
        <item x="386"/>
        <item x="368"/>
        <item x="371"/>
        <item x="370"/>
        <item x="375"/>
        <item x="376"/>
        <item x="387"/>
        <item x="389"/>
        <item x="372"/>
        <item x="374"/>
        <item x="380"/>
        <item x="379"/>
        <item x="373"/>
        <item x="384"/>
        <item x="382"/>
        <item x="388"/>
        <item x="385"/>
        <item x="392"/>
        <item x="378"/>
        <item x="394"/>
        <item x="381"/>
        <item x="391"/>
        <item x="395"/>
        <item x="377"/>
        <item x="383"/>
        <item x="390"/>
        <item x="393"/>
        <item x="396"/>
        <item x="398"/>
        <item x="397"/>
        <item x="405"/>
        <item x="401"/>
        <item x="402"/>
        <item x="399"/>
        <item x="403"/>
        <item x="400"/>
        <item x="406"/>
        <item x="404"/>
        <item x="408"/>
        <item x="407"/>
        <item x="410"/>
        <item x="411"/>
        <item x="412"/>
        <item x="409"/>
        <item x="413"/>
        <item x="416"/>
        <item x="415"/>
        <item x="414"/>
        <item x="417"/>
        <item x="418"/>
        <item x="423"/>
        <item x="420"/>
        <item x="419"/>
        <item x="421"/>
        <item x="426"/>
        <item x="434"/>
        <item x="422"/>
        <item x="430"/>
        <item x="429"/>
        <item x="424"/>
        <item x="435"/>
        <item x="425"/>
        <item x="427"/>
        <item x="433"/>
        <item x="436"/>
        <item x="431"/>
        <item x="428"/>
        <item x="432"/>
        <item x="441"/>
        <item x="437"/>
        <item x="440"/>
        <item x="438"/>
        <item x="439"/>
        <item x="443"/>
        <item x="442"/>
        <item x="444"/>
        <item x="445"/>
        <item x="454"/>
        <item x="451"/>
        <item x="450"/>
        <item x="446"/>
        <item x="449"/>
        <item x="447"/>
        <item x="448"/>
        <item x="460"/>
        <item x="458"/>
        <item x="457"/>
        <item x="453"/>
        <item x="462"/>
        <item x="456"/>
        <item x="463"/>
        <item x="452"/>
        <item x="459"/>
        <item x="461"/>
        <item x="472"/>
        <item x="468"/>
        <item x="467"/>
        <item x="455"/>
        <item x="465"/>
        <item x="464"/>
        <item x="466"/>
        <item x="473"/>
        <item x="470"/>
        <item x="471"/>
        <item x="482"/>
        <item x="485"/>
        <item x="469"/>
        <item x="477"/>
        <item x="476"/>
        <item x="474"/>
        <item x="479"/>
        <item x="475"/>
        <item x="478"/>
        <item x="491"/>
        <item x="481"/>
        <item x="488"/>
        <item x="480"/>
        <item x="486"/>
        <item x="489"/>
        <item x="483"/>
        <item x="492"/>
        <item x="484"/>
        <item x="487"/>
        <item x="496"/>
        <item x="490"/>
        <item x="494"/>
        <item x="493"/>
        <item x="495"/>
        <item x="498"/>
        <item x="497"/>
        <item x="501"/>
        <item x="500"/>
        <item x="499"/>
        <item x="503"/>
        <item x="502"/>
        <item x="505"/>
        <item x="504"/>
        <item x="506"/>
        <item x="507"/>
        <item x="508"/>
        <item x="512"/>
        <item x="510"/>
        <item x="509"/>
        <item x="514"/>
        <item x="513"/>
        <item x="522"/>
        <item x="517"/>
        <item x="515"/>
        <item x="511"/>
        <item x="518"/>
        <item x="521"/>
        <item x="531"/>
        <item x="535"/>
        <item x="539"/>
        <item x="516"/>
        <item x="530"/>
        <item x="520"/>
        <item x="534"/>
        <item x="542"/>
        <item x="538"/>
        <item x="523"/>
        <item x="546"/>
        <item x="547"/>
        <item x="532"/>
        <item x="519"/>
        <item x="524"/>
        <item x="536"/>
        <item x="529"/>
        <item x="540"/>
        <item x="533"/>
        <item x="537"/>
        <item x="550"/>
        <item x="565"/>
        <item x="549"/>
        <item x="541"/>
        <item x="544"/>
        <item x="548"/>
        <item x="528"/>
        <item x="545"/>
        <item x="543"/>
        <item x="554"/>
        <item x="558"/>
        <item x="552"/>
        <item x="557"/>
        <item x="555"/>
        <item x="525"/>
        <item x="553"/>
        <item x="560"/>
        <item x="564"/>
        <item x="569"/>
        <item x="556"/>
        <item x="562"/>
        <item x="570"/>
        <item x="567"/>
        <item x="559"/>
        <item x="551"/>
        <item x="568"/>
        <item x="561"/>
        <item x="566"/>
        <item x="573"/>
        <item x="577"/>
        <item x="527"/>
        <item x="526"/>
        <item x="572"/>
        <item x="563"/>
        <item x="571"/>
        <item x="576"/>
        <item x="574"/>
        <item x="575"/>
        <item x="578"/>
        <item x="580"/>
        <item x="579"/>
        <item x="582"/>
        <item x="581"/>
        <item x="585"/>
        <item x="584"/>
        <item x="583"/>
        <item x="586"/>
        <item x="589"/>
        <item x="587"/>
        <item x="588"/>
        <item x="590"/>
        <item x="592"/>
        <item x="591"/>
        <item x="593"/>
        <item x="594"/>
        <item x="596"/>
        <item x="595"/>
        <item x="597"/>
        <item x="598"/>
        <item x="607"/>
        <item x="606"/>
        <item x="604"/>
        <item x="599"/>
        <item x="602"/>
        <item x="603"/>
        <item x="600"/>
        <item x="601"/>
        <item x="605"/>
        <item x="608"/>
        <item x="609"/>
        <item x="610"/>
        <item x="612"/>
        <item x="614"/>
        <item x="611"/>
        <item x="613"/>
        <item x="615"/>
        <item x="616"/>
        <item x="617"/>
        <item x="620"/>
        <item x="788"/>
        <item x="619"/>
        <item x="769"/>
        <item x="771"/>
        <item x="789"/>
        <item x="785"/>
        <item x="621"/>
        <item x="766"/>
        <item x="618"/>
        <item x="770"/>
        <item x="758"/>
        <item x="738"/>
        <item x="765"/>
        <item x="743"/>
        <item x="778"/>
        <item x="750"/>
        <item x="781"/>
        <item x="772"/>
        <item x="786"/>
        <item x="744"/>
        <item x="793"/>
        <item x="784"/>
        <item x="727"/>
        <item x="747"/>
        <item x="623"/>
        <item x="622"/>
        <item x="739"/>
        <item x="764"/>
        <item x="754"/>
        <item x="776"/>
        <item x="768"/>
        <item x="802"/>
        <item x="821"/>
        <item x="783"/>
        <item x="762"/>
        <item x="746"/>
        <item x="624"/>
        <item x="729"/>
        <item x="796"/>
        <item x="773"/>
        <item x="803"/>
        <item x="763"/>
        <item x="777"/>
        <item x="745"/>
        <item x="791"/>
        <item x="767"/>
        <item x="797"/>
        <item x="800"/>
        <item x="896"/>
        <item x="736"/>
        <item x="859"/>
        <item x="757"/>
        <item x="808"/>
        <item x="760"/>
        <item x="795"/>
        <item x="742"/>
        <item x="759"/>
        <item x="794"/>
        <item x="779"/>
        <item x="625"/>
        <item x="807"/>
        <item x="733"/>
        <item x="790"/>
        <item x="753"/>
        <item x="818"/>
        <item x="732"/>
        <item x="816"/>
        <item x="804"/>
        <item x="752"/>
        <item x="734"/>
        <item x="813"/>
        <item x="774"/>
        <item x="787"/>
        <item x="751"/>
        <item x="805"/>
        <item x="848"/>
        <item x="737"/>
        <item x="823"/>
        <item x="782"/>
        <item x="755"/>
        <item x="801"/>
        <item x="827"/>
        <item x="748"/>
        <item x="868"/>
        <item x="822"/>
        <item x="825"/>
        <item x="792"/>
        <item x="828"/>
        <item x="806"/>
        <item x="843"/>
        <item x="749"/>
        <item x="740"/>
        <item x="780"/>
        <item x="817"/>
        <item x="884"/>
        <item x="874"/>
        <item x="838"/>
        <item x="811"/>
        <item x="721"/>
        <item x="741"/>
        <item x="631"/>
        <item x="829"/>
        <item x="887"/>
        <item x="840"/>
        <item x="814"/>
        <item x="641"/>
        <item x="931"/>
        <item x="847"/>
        <item x="826"/>
        <item x="756"/>
        <item x="815"/>
        <item x="894"/>
        <item x="735"/>
        <item x="626"/>
        <item x="836"/>
        <item x="832"/>
        <item x="820"/>
        <item x="731"/>
        <item x="761"/>
        <item x="632"/>
        <item x="809"/>
        <item x="775"/>
        <item x="929"/>
        <item x="839"/>
        <item x="904"/>
        <item x="934"/>
        <item x="858"/>
        <item x="798"/>
        <item x="724"/>
        <item x="924"/>
        <item x="837"/>
        <item x="728"/>
        <item x="906"/>
        <item x="730"/>
        <item x="719"/>
        <item x="799"/>
        <item x="643"/>
        <item x="851"/>
        <item x="860"/>
        <item x="812"/>
        <item x="899"/>
        <item x="627"/>
        <item x="633"/>
        <item x="717"/>
        <item x="853"/>
        <item x="893"/>
        <item x="834"/>
        <item x="841"/>
        <item x="726"/>
        <item x="857"/>
        <item x="833"/>
        <item x="935"/>
        <item x="706"/>
        <item x="690"/>
        <item x="844"/>
        <item x="923"/>
        <item x="889"/>
        <item x="630"/>
        <item x="716"/>
        <item x="854"/>
        <item x="898"/>
        <item x="810"/>
        <item x="646"/>
        <item x="872"/>
        <item x="725"/>
        <item x="722"/>
        <item x="885"/>
        <item x="642"/>
        <item x="835"/>
        <item x="930"/>
        <item x="861"/>
        <item x="846"/>
        <item x="903"/>
        <item x="842"/>
        <item x="928"/>
        <item x="830"/>
        <item x="849"/>
        <item x="819"/>
        <item x="895"/>
        <item x="936"/>
        <item x="855"/>
        <item x="689"/>
        <item x="648"/>
        <item x="635"/>
        <item x="902"/>
        <item x="942"/>
        <item x="888"/>
        <item x="946"/>
        <item x="919"/>
        <item x="628"/>
        <item x="653"/>
        <item x="702"/>
        <item x="824"/>
        <item x="886"/>
        <item x="709"/>
        <item x="943"/>
        <item x="917"/>
        <item x="879"/>
        <item x="831"/>
        <item x="650"/>
        <item x="922"/>
        <item x="932"/>
        <item x="957"/>
        <item x="877"/>
        <item x="910"/>
        <item x="713"/>
        <item x="852"/>
        <item x="639"/>
        <item x="963"/>
        <item x="629"/>
        <item x="850"/>
        <item x="869"/>
        <item x="907"/>
        <item x="694"/>
        <item x="880"/>
        <item x="953"/>
        <item x="670"/>
        <item x="862"/>
        <item x="883"/>
        <item x="952"/>
        <item x="645"/>
        <item x="634"/>
        <item x="723"/>
        <item x="712"/>
        <item x="863"/>
        <item x="878"/>
        <item x="941"/>
        <item x="640"/>
        <item x="973"/>
        <item x="954"/>
        <item x="707"/>
        <item x="876"/>
        <item x="845"/>
        <item x="701"/>
        <item x="961"/>
        <item x="682"/>
        <item x="897"/>
        <item x="873"/>
        <item x="911"/>
        <item x="636"/>
        <item x="948"/>
        <item x="891"/>
        <item x="671"/>
        <item x="697"/>
        <item x="955"/>
        <item x="638"/>
        <item x="892"/>
        <item x="927"/>
        <item x="867"/>
        <item x="871"/>
        <item x="714"/>
        <item x="921"/>
        <item x="718"/>
        <item x="699"/>
        <item x="937"/>
        <item x="687"/>
        <item x="920"/>
        <item x="912"/>
        <item x="901"/>
        <item x="939"/>
        <item x="668"/>
        <item x="688"/>
        <item x="890"/>
        <item x="905"/>
        <item x="720"/>
        <item x="964"/>
        <item x="975"/>
        <item x="647"/>
        <item x="677"/>
        <item x="680"/>
        <item x="710"/>
        <item x="856"/>
        <item x="940"/>
        <item x="657"/>
        <item x="947"/>
        <item x="865"/>
        <item x="914"/>
        <item x="676"/>
        <item x="900"/>
        <item x="918"/>
        <item x="715"/>
        <item x="866"/>
        <item x="691"/>
        <item x="703"/>
        <item x="678"/>
        <item x="916"/>
        <item x="881"/>
        <item x="925"/>
        <item x="864"/>
        <item x="949"/>
        <item x="913"/>
        <item x="654"/>
        <item x="978"/>
        <item x="962"/>
        <item x="968"/>
        <item x="933"/>
        <item x="651"/>
        <item x="938"/>
        <item x="870"/>
        <item x="656"/>
        <item x="704"/>
        <item x="909"/>
        <item x="672"/>
        <item x="655"/>
        <item x="959"/>
        <item x="696"/>
        <item x="644"/>
        <item x="926"/>
        <item x="675"/>
        <item x="692"/>
        <item x="950"/>
        <item x="711"/>
        <item x="681"/>
        <item x="662"/>
        <item x="965"/>
        <item x="967"/>
        <item x="945"/>
        <item x="980"/>
        <item x="637"/>
        <item x="669"/>
        <item x="988"/>
        <item x="679"/>
        <item x="915"/>
        <item x="652"/>
        <item x="958"/>
        <item x="971"/>
        <item x="698"/>
        <item x="908"/>
        <item x="944"/>
        <item x="969"/>
        <item x="989"/>
        <item x="700"/>
        <item x="705"/>
        <item x="683"/>
        <item x="693"/>
        <item x="875"/>
        <item x="673"/>
        <item x="979"/>
        <item x="966"/>
        <item x="882"/>
        <item x="951"/>
        <item x="663"/>
        <item x="695"/>
        <item x="708"/>
        <item x="659"/>
        <item x="686"/>
        <item x="658"/>
        <item x="960"/>
        <item x="974"/>
        <item x="993"/>
        <item x="956"/>
        <item x="994"/>
        <item x="972"/>
        <item x="985"/>
        <item x="674"/>
        <item x="684"/>
        <item x="977"/>
        <item x="970"/>
        <item x="666"/>
        <item x="661"/>
        <item x="664"/>
        <item x="667"/>
        <item x="660"/>
        <item x="649"/>
        <item x="982"/>
        <item x="981"/>
        <item x="976"/>
        <item x="1004"/>
        <item x="685"/>
        <item x="986"/>
        <item x="665"/>
        <item x="983"/>
        <item x="992"/>
        <item x="1011"/>
        <item x="991"/>
        <item x="1005"/>
        <item x="984"/>
        <item x="995"/>
        <item x="990"/>
        <item x="1012"/>
        <item x="1003"/>
        <item x="996"/>
        <item x="1018"/>
        <item x="1009"/>
        <item x="998"/>
        <item x="1001"/>
        <item x="997"/>
        <item x="999"/>
        <item x="1030"/>
        <item x="1000"/>
        <item x="1014"/>
        <item x="1109"/>
        <item x="987"/>
        <item x="1139"/>
        <item x="1010"/>
        <item x="1002"/>
        <item x="1015"/>
        <item x="1022"/>
        <item x="1111"/>
        <item x="1046"/>
        <item x="1017"/>
        <item x="1008"/>
        <item x="1035"/>
        <item x="1134"/>
        <item x="1007"/>
        <item x="1052"/>
        <item x="1021"/>
        <item x="1100"/>
        <item x="1058"/>
        <item x="1032"/>
        <item x="1026"/>
        <item x="1110"/>
        <item x="1019"/>
        <item x="1137"/>
        <item x="1135"/>
        <item x="1041"/>
        <item x="1006"/>
        <item x="1065"/>
        <item x="1049"/>
        <item x="1020"/>
        <item x="1042"/>
        <item x="1028"/>
        <item x="1048"/>
        <item x="1145"/>
        <item x="1143"/>
        <item x="1016"/>
        <item x="1117"/>
        <item x="1062"/>
        <item x="1050"/>
        <item x="1024"/>
        <item x="1029"/>
        <item x="1119"/>
        <item x="1047"/>
        <item x="1101"/>
        <item x="1128"/>
        <item x="1113"/>
        <item x="1056"/>
        <item x="1132"/>
        <item x="1115"/>
        <item x="1138"/>
        <item x="1027"/>
        <item x="1141"/>
        <item x="1123"/>
        <item x="1096"/>
        <item x="1129"/>
        <item x="1131"/>
        <item x="1105"/>
        <item x="1033"/>
        <item x="1054"/>
        <item x="1036"/>
        <item x="1081"/>
        <item x="1060"/>
        <item x="1147"/>
        <item x="1031"/>
        <item x="1013"/>
        <item x="1107"/>
        <item x="1040"/>
        <item x="1023"/>
        <item x="1067"/>
        <item x="1108"/>
        <item x="1103"/>
        <item x="1118"/>
        <item x="1077"/>
        <item x="1146"/>
        <item x="1038"/>
        <item x="1034"/>
        <item x="1112"/>
        <item x="1057"/>
        <item x="1039"/>
        <item x="1025"/>
        <item x="1073"/>
        <item x="1149"/>
        <item x="1055"/>
        <item x="1160"/>
        <item x="1045"/>
        <item x="1127"/>
        <item x="1084"/>
        <item x="1120"/>
        <item x="1043"/>
        <item x="1144"/>
        <item x="1121"/>
        <item x="1142"/>
        <item x="1157"/>
        <item x="1148"/>
        <item x="1125"/>
        <item x="1102"/>
        <item x="1082"/>
        <item x="1071"/>
        <item x="1051"/>
        <item x="1104"/>
        <item x="1072"/>
        <item x="1133"/>
        <item x="1154"/>
        <item x="1114"/>
        <item x="1044"/>
        <item x="1083"/>
        <item x="1061"/>
        <item x="1074"/>
        <item x="1126"/>
        <item x="1037"/>
        <item x="1089"/>
        <item x="1106"/>
        <item x="1063"/>
        <item x="1080"/>
        <item x="1152"/>
        <item x="1085"/>
        <item x="1098"/>
        <item x="1086"/>
        <item x="1156"/>
        <item x="1124"/>
        <item x="1064"/>
        <item x="1087"/>
        <item x="1066"/>
        <item x="1140"/>
        <item x="1130"/>
        <item x="1079"/>
        <item x="1122"/>
        <item x="1155"/>
        <item x="1099"/>
        <item x="1068"/>
        <item x="1091"/>
        <item x="1078"/>
        <item x="1093"/>
        <item x="1070"/>
        <item x="1136"/>
        <item x="1088"/>
        <item x="1116"/>
        <item x="1059"/>
        <item x="1075"/>
        <item x="1159"/>
        <item x="1158"/>
        <item x="1076"/>
        <item x="1069"/>
        <item x="1092"/>
        <item x="1053"/>
        <item x="1153"/>
        <item x="1090"/>
        <item x="1151"/>
        <item x="1175"/>
        <item x="1161"/>
        <item x="1171"/>
        <item x="1095"/>
        <item x="1150"/>
        <item x="1097"/>
        <item x="1166"/>
        <item x="1162"/>
        <item x="1165"/>
        <item x="1185"/>
        <item x="1094"/>
        <item x="1170"/>
        <item x="1173"/>
        <item x="1179"/>
        <item x="1174"/>
        <item x="1164"/>
        <item x="1163"/>
        <item x="1169"/>
        <item x="1176"/>
        <item x="1168"/>
        <item x="1180"/>
        <item x="1186"/>
        <item x="1181"/>
        <item x="1177"/>
        <item x="1167"/>
        <item x="1184"/>
        <item x="1182"/>
        <item x="1172"/>
        <item x="1178"/>
        <item x="1183"/>
        <item x="1192"/>
        <item x="1188"/>
        <item x="1189"/>
        <item x="1187"/>
        <item x="1200"/>
        <item x="1197"/>
        <item x="1191"/>
        <item x="1198"/>
        <item x="1199"/>
        <item x="1190"/>
        <item x="1193"/>
        <item x="1208"/>
        <item x="1196"/>
        <item x="1194"/>
        <item x="1209"/>
        <item x="1195"/>
        <item x="1204"/>
        <item x="1203"/>
        <item x="1202"/>
        <item x="1207"/>
        <item x="1218"/>
        <item x="1212"/>
        <item x="1206"/>
        <item x="1201"/>
        <item x="1215"/>
        <item x="1222"/>
        <item x="1210"/>
        <item x="1211"/>
        <item x="1217"/>
        <item x="1220"/>
        <item x="1221"/>
        <item x="1205"/>
        <item x="1216"/>
        <item x="1234"/>
        <item x="1213"/>
        <item x="1219"/>
        <item x="1225"/>
        <item x="1235"/>
        <item x="1223"/>
        <item x="1250"/>
        <item x="1227"/>
        <item x="1214"/>
        <item x="1232"/>
        <item x="1226"/>
        <item x="1233"/>
        <item x="1229"/>
        <item x="1228"/>
        <item x="1231"/>
        <item x="1245"/>
        <item x="1224"/>
        <item x="1230"/>
        <item x="1236"/>
        <item x="1240"/>
        <item x="1246"/>
        <item x="1237"/>
        <item x="1248"/>
        <item x="1238"/>
        <item x="1251"/>
        <item x="1239"/>
        <item x="1244"/>
        <item x="1241"/>
        <item x="1249"/>
        <item x="1247"/>
        <item x="1242"/>
        <item x="1253"/>
        <item x="1252"/>
        <item x="1256"/>
        <item x="1243"/>
        <item x="1254"/>
        <item x="1257"/>
        <item x="1259"/>
        <item x="1255"/>
        <item x="1258"/>
        <item x="1262"/>
        <item x="1261"/>
        <item x="1265"/>
        <item x="1264"/>
        <item x="1260"/>
        <item x="1274"/>
        <item x="1270"/>
        <item x="1273"/>
        <item x="1266"/>
        <item x="1272"/>
        <item x="1267"/>
        <item x="1263"/>
        <item x="1271"/>
        <item x="1279"/>
        <item x="1269"/>
        <item x="1275"/>
        <item x="1280"/>
        <item x="1268"/>
        <item x="1278"/>
        <item x="1282"/>
        <item x="1276"/>
        <item x="1284"/>
        <item x="1283"/>
        <item x="1285"/>
        <item x="1281"/>
        <item x="1277"/>
        <item x="1287"/>
        <item x="1286"/>
        <item x="1291"/>
        <item x="1288"/>
        <item x="1289"/>
        <item x="1294"/>
        <item x="1290"/>
        <item x="1295"/>
        <item x="1292"/>
        <item x="1299"/>
        <item x="1297"/>
        <item x="1303"/>
        <item x="1304"/>
        <item x="1300"/>
        <item x="1296"/>
        <item x="1293"/>
        <item x="1306"/>
        <item x="1298"/>
        <item x="1301"/>
        <item x="1305"/>
        <item x="1307"/>
        <item x="1302"/>
        <item x="1309"/>
        <item x="1315"/>
        <item x="1313"/>
        <item x="1310"/>
        <item x="1308"/>
        <item x="1312"/>
        <item x="1314"/>
        <item x="1311"/>
        <item x="1316"/>
        <item x="1324"/>
        <item x="1319"/>
        <item x="1317"/>
        <item x="1318"/>
        <item x="1321"/>
        <item x="1320"/>
        <item x="1322"/>
        <item x="1323"/>
        <item x="1325"/>
        <item x="1326"/>
        <item x="1329"/>
        <item x="1332"/>
        <item x="1327"/>
        <item x="1328"/>
        <item x="1333"/>
        <item x="1330"/>
        <item x="1334"/>
        <item x="1331"/>
        <item x="1335"/>
        <item x="1336"/>
        <item x="1337"/>
        <item x="1346"/>
        <item x="1342"/>
        <item x="1338"/>
        <item x="1347"/>
        <item x="1341"/>
        <item x="1343"/>
        <item x="1340"/>
        <item x="1339"/>
        <item x="1344"/>
        <item x="1345"/>
        <item x="1349"/>
        <item x="1355"/>
        <item x="1350"/>
        <item x="1348"/>
        <item x="1352"/>
        <item x="1351"/>
        <item x="1357"/>
        <item x="1353"/>
        <item x="1356"/>
        <item x="1354"/>
        <item x="1360"/>
        <item x="1358"/>
        <item x="1359"/>
        <item x="1361"/>
        <item x="1364"/>
        <item x="1362"/>
        <item x="1363"/>
        <item x="1365"/>
        <item x="1369"/>
        <item x="1368"/>
        <item x="1367"/>
        <item x="1366"/>
        <item x="1373"/>
        <item x="1375"/>
        <item x="1370"/>
        <item x="1371"/>
        <item x="1376"/>
        <item x="1372"/>
        <item x="1377"/>
        <item x="1374"/>
        <item x="1378"/>
        <item x="1380"/>
        <item x="1379"/>
        <item x="1385"/>
        <item x="1381"/>
        <item x="1382"/>
        <item x="1386"/>
        <item x="1383"/>
        <item x="1384"/>
        <item x="1387"/>
        <item x="1389"/>
        <item x="1390"/>
        <item x="1393"/>
        <item x="1392"/>
        <item x="1388"/>
        <item x="1398"/>
        <item x="1394"/>
        <item x="1391"/>
        <item x="1404"/>
        <item x="1397"/>
        <item x="1407"/>
        <item x="1396"/>
        <item x="1395"/>
        <item x="1406"/>
        <item x="1403"/>
        <item x="1408"/>
        <item x="1399"/>
        <item x="1402"/>
        <item x="1401"/>
        <item x="1400"/>
        <item x="1405"/>
        <item x="1414"/>
        <item x="1412"/>
        <item x="1409"/>
        <item x="1420"/>
        <item x="1413"/>
        <item x="1416"/>
        <item x="1417"/>
        <item x="1410"/>
        <item x="1425"/>
        <item x="1418"/>
        <item x="1415"/>
        <item x="1419"/>
        <item x="1423"/>
        <item x="1411"/>
        <item x="1422"/>
        <item x="1421"/>
        <item x="1424"/>
        <item x="1426"/>
        <item x="1429"/>
        <item x="1432"/>
        <item x="1431"/>
        <item x="1427"/>
        <item x="1434"/>
        <item x="1428"/>
        <item x="1430"/>
        <item x="1433"/>
        <item x="1436"/>
        <item x="1435"/>
        <item x="1437"/>
        <item x="1439"/>
        <item x="1444"/>
        <item x="1451"/>
        <item x="1438"/>
        <item x="1442"/>
        <item x="1440"/>
        <item x="1441"/>
        <item x="1455"/>
        <item x="1445"/>
        <item x="1448"/>
        <item x="1452"/>
        <item x="1446"/>
        <item x="1457"/>
        <item x="1447"/>
        <item x="1453"/>
        <item x="1443"/>
        <item x="1449"/>
        <item x="1450"/>
        <item x="1456"/>
        <item x="1454"/>
        <item x="1460"/>
        <item x="1459"/>
        <item x="1462"/>
        <item x="1468"/>
        <item x="1458"/>
        <item x="1465"/>
        <item x="1461"/>
        <item x="1471"/>
        <item x="1463"/>
        <item x="1464"/>
        <item x="1469"/>
        <item x="1473"/>
        <item x="1466"/>
        <item x="1467"/>
        <item x="1476"/>
        <item x="1478"/>
        <item x="1474"/>
        <item x="1472"/>
        <item x="1470"/>
        <item x="1488"/>
        <item x="1475"/>
        <item x="1484"/>
        <item x="1477"/>
        <item x="1479"/>
        <item x="1483"/>
        <item x="1480"/>
        <item x="1487"/>
        <item x="1482"/>
        <item x="1489"/>
        <item x="1481"/>
        <item x="1490"/>
        <item x="1485"/>
        <item x="1491"/>
        <item x="1499"/>
        <item x="1486"/>
        <item x="1495"/>
        <item x="1493"/>
        <item x="1492"/>
        <item x="1503"/>
        <item x="1496"/>
        <item x="1494"/>
        <item x="1501"/>
        <item x="1508"/>
        <item x="1507"/>
        <item x="1498"/>
        <item x="1500"/>
        <item x="1509"/>
        <item x="1518"/>
        <item x="1506"/>
        <item x="1510"/>
        <item x="1504"/>
        <item x="1505"/>
        <item x="1511"/>
        <item x="1502"/>
        <item x="1522"/>
        <item x="1497"/>
        <item x="1513"/>
        <item x="1514"/>
        <item x="1512"/>
        <item x="1523"/>
        <item x="1515"/>
        <item x="1521"/>
        <item x="1517"/>
        <item x="1516"/>
        <item x="1534"/>
        <item x="1519"/>
        <item x="1526"/>
        <item x="1520"/>
        <item x="1524"/>
        <item x="1529"/>
        <item x="1525"/>
        <item x="1530"/>
        <item x="1528"/>
        <item x="1542"/>
        <item x="1536"/>
        <item x="1531"/>
        <item x="1532"/>
        <item x="1533"/>
        <item x="1535"/>
        <item x="1527"/>
        <item x="1541"/>
        <item x="1544"/>
        <item x="1549"/>
        <item x="1539"/>
        <item x="1543"/>
        <item x="1537"/>
        <item x="1566"/>
        <item x="1538"/>
        <item x="1545"/>
        <item x="1540"/>
        <item x="1556"/>
        <item x="1560"/>
        <item x="1554"/>
        <item x="1561"/>
        <item x="1551"/>
        <item x="1548"/>
        <item x="1550"/>
        <item x="1564"/>
        <item x="1558"/>
        <item x="1546"/>
        <item x="1555"/>
        <item x="1547"/>
        <item x="1553"/>
        <item x="1565"/>
        <item x="1572"/>
        <item x="1559"/>
        <item x="1552"/>
        <item x="1557"/>
        <item x="1568"/>
        <item x="1563"/>
        <item x="1573"/>
        <item x="1575"/>
        <item x="1569"/>
        <item x="1570"/>
        <item x="1562"/>
        <item x="1587"/>
        <item x="1571"/>
        <item x="1574"/>
        <item x="1583"/>
        <item x="1589"/>
        <item x="1580"/>
        <item x="1576"/>
        <item x="1579"/>
        <item x="1578"/>
        <item x="1591"/>
        <item x="1582"/>
        <item x="1567"/>
        <item x="1581"/>
        <item x="1596"/>
        <item x="1599"/>
        <item x="1577"/>
        <item x="1584"/>
        <item x="1597"/>
        <item x="1586"/>
        <item x="1585"/>
        <item x="1602"/>
        <item x="1590"/>
        <item x="1588"/>
        <item x="1598"/>
        <item x="1592"/>
        <item x="1600"/>
        <item x="1594"/>
        <item x="1595"/>
        <item x="1604"/>
        <item x="1601"/>
        <item x="1593"/>
        <item x="1603"/>
        <item x="1605"/>
        <item x="1609"/>
        <item x="1608"/>
        <item x="1607"/>
        <item x="1620"/>
        <item x="1606"/>
        <item x="1621"/>
        <item x="1610"/>
        <item x="1616"/>
        <item x="1622"/>
        <item x="1623"/>
        <item x="1631"/>
        <item x="1613"/>
        <item x="1626"/>
        <item x="1649"/>
        <item x="1612"/>
        <item x="1618"/>
        <item x="1637"/>
        <item x="1639"/>
        <item x="1633"/>
        <item x="1611"/>
        <item x="1628"/>
        <item x="1641"/>
        <item x="1615"/>
        <item x="1627"/>
        <item x="1650"/>
        <item x="1614"/>
        <item x="1638"/>
        <item x="1625"/>
        <item x="1629"/>
        <item x="1619"/>
        <item x="1617"/>
        <item x="1636"/>
        <item x="1632"/>
        <item x="1630"/>
        <item x="1644"/>
        <item x="1624"/>
        <item x="1643"/>
        <item x="1640"/>
        <item x="1657"/>
        <item x="1642"/>
        <item x="1646"/>
        <item x="1647"/>
        <item x="1634"/>
        <item x="1652"/>
        <item x="1648"/>
        <item x="1635"/>
        <item x="1651"/>
        <item x="1653"/>
        <item x="1645"/>
        <item x="1659"/>
        <item x="1668"/>
        <item x="1660"/>
        <item x="1656"/>
        <item x="1667"/>
        <item x="1655"/>
        <item x="1658"/>
        <item x="1654"/>
        <item x="1662"/>
        <item x="1673"/>
        <item x="1665"/>
        <item x="1666"/>
        <item x="1661"/>
        <item x="1664"/>
        <item x="1680"/>
        <item x="1677"/>
        <item x="1681"/>
        <item x="1663"/>
        <item x="1674"/>
        <item x="1670"/>
        <item x="1669"/>
        <item x="1684"/>
        <item x="1679"/>
        <item x="1682"/>
        <item x="1676"/>
        <item x="1671"/>
        <item x="1693"/>
        <item x="1672"/>
        <item x="1722"/>
        <item x="1697"/>
        <item x="1711"/>
        <item x="1675"/>
        <item x="1750"/>
        <item x="1696"/>
        <item x="1694"/>
        <item x="1715"/>
        <item x="1683"/>
        <item x="1686"/>
        <item x="1698"/>
        <item x="1701"/>
        <item x="1716"/>
        <item x="1691"/>
        <item x="1678"/>
        <item x="1685"/>
        <item x="1723"/>
        <item x="1713"/>
        <item x="1706"/>
        <item x="1692"/>
        <item x="1709"/>
        <item x="1754"/>
        <item x="1760"/>
        <item x="1702"/>
        <item x="1761"/>
        <item x="1687"/>
        <item x="1733"/>
        <item x="1739"/>
        <item x="1707"/>
        <item x="1695"/>
        <item x="1710"/>
        <item x="1789"/>
        <item x="1764"/>
        <item x="1748"/>
        <item x="1800"/>
        <item x="1690"/>
        <item x="1712"/>
        <item x="1763"/>
        <item x="1806"/>
        <item x="1699"/>
        <item x="1743"/>
        <item x="1703"/>
        <item x="1689"/>
        <item x="1717"/>
        <item x="1700"/>
        <item x="1762"/>
        <item x="1708"/>
        <item x="1719"/>
        <item x="1802"/>
        <item x="1792"/>
        <item x="1728"/>
        <item x="1892"/>
        <item x="1753"/>
        <item x="1794"/>
        <item x="1744"/>
        <item x="1793"/>
        <item x="1735"/>
        <item x="1688"/>
        <item x="1738"/>
        <item x="1718"/>
        <item x="1721"/>
        <item x="1705"/>
        <item x="1782"/>
        <item x="1759"/>
        <item x="1756"/>
        <item x="1737"/>
        <item x="1778"/>
        <item x="1796"/>
        <item x="1736"/>
        <item x="1757"/>
        <item x="1720"/>
        <item x="1741"/>
        <item x="1714"/>
        <item x="1734"/>
        <item x="1781"/>
        <item x="1732"/>
        <item x="1727"/>
        <item x="1751"/>
        <item x="1704"/>
        <item x="1913"/>
        <item x="1867"/>
        <item x="1766"/>
        <item x="1758"/>
        <item x="1742"/>
        <item x="1791"/>
        <item x="1730"/>
        <item x="1745"/>
        <item x="1779"/>
        <item x="1769"/>
        <item x="1817"/>
        <item x="1859"/>
        <item x="1767"/>
        <item x="1749"/>
        <item x="1871"/>
        <item x="1731"/>
        <item x="1786"/>
        <item x="1833"/>
        <item x="1726"/>
        <item x="1876"/>
        <item x="1729"/>
        <item x="1785"/>
        <item x="1771"/>
        <item x="1724"/>
        <item x="1881"/>
        <item x="1918"/>
        <item x="1823"/>
        <item x="1847"/>
        <item x="1772"/>
        <item x="1853"/>
        <item x="1866"/>
        <item x="1740"/>
        <item x="1829"/>
        <item x="1809"/>
        <item x="1851"/>
        <item x="1768"/>
        <item x="1752"/>
        <item x="1899"/>
        <item x="1885"/>
        <item x="1780"/>
        <item x="1814"/>
        <item x="1746"/>
        <item x="1856"/>
        <item x="1788"/>
        <item x="1776"/>
        <item x="1888"/>
        <item x="1783"/>
        <item x="1872"/>
        <item x="1798"/>
        <item x="1804"/>
        <item x="1923"/>
        <item x="1777"/>
        <item x="1909"/>
        <item x="1895"/>
        <item x="1747"/>
        <item x="1836"/>
        <item x="1765"/>
        <item x="1945"/>
        <item x="1807"/>
        <item x="1835"/>
        <item x="1755"/>
        <item x="1870"/>
        <item x="1821"/>
        <item x="1790"/>
        <item x="1799"/>
        <item x="1903"/>
        <item x="1934"/>
        <item x="1854"/>
        <item x="1774"/>
        <item x="1832"/>
        <item x="1933"/>
        <item x="1811"/>
        <item x="1816"/>
        <item x="1845"/>
        <item x="1897"/>
        <item x="1784"/>
        <item x="1964"/>
        <item x="1803"/>
        <item x="1917"/>
        <item x="1770"/>
        <item x="1927"/>
        <item x="1773"/>
        <item x="1902"/>
        <item x="1815"/>
        <item x="1875"/>
        <item x="1879"/>
        <item x="1787"/>
        <item x="1838"/>
        <item x="1891"/>
        <item x="1901"/>
        <item x="1725"/>
        <item x="1795"/>
        <item x="1839"/>
        <item x="1831"/>
        <item x="1849"/>
        <item x="1860"/>
        <item x="1826"/>
        <item x="1940"/>
        <item x="1797"/>
        <item x="1869"/>
        <item x="1894"/>
        <item x="1936"/>
        <item x="1824"/>
        <item x="1842"/>
        <item x="1925"/>
        <item x="1855"/>
        <item x="1830"/>
        <item x="1957"/>
        <item x="1920"/>
        <item x="1924"/>
        <item x="1810"/>
        <item x="1775"/>
        <item x="1874"/>
        <item x="1819"/>
        <item x="1884"/>
        <item x="1953"/>
        <item x="1846"/>
        <item x="1931"/>
        <item x="1805"/>
        <item x="1887"/>
        <item x="1873"/>
        <item x="1889"/>
        <item x="1905"/>
        <item x="1820"/>
        <item x="1951"/>
        <item x="1808"/>
        <item x="1893"/>
        <item x="1900"/>
        <item x="1880"/>
        <item x="1844"/>
        <item x="1947"/>
        <item x="1912"/>
        <item x="1837"/>
        <item x="1959"/>
        <item x="1926"/>
        <item x="1862"/>
        <item x="1907"/>
        <item x="1827"/>
        <item x="1861"/>
        <item x="1966"/>
        <item x="1898"/>
        <item x="1865"/>
        <item x="1834"/>
        <item x="1973"/>
        <item x="1967"/>
        <item x="1825"/>
        <item x="1864"/>
        <item x="1828"/>
        <item x="1916"/>
        <item x="1801"/>
        <item x="1935"/>
        <item x="1850"/>
        <item x="1975"/>
        <item x="1863"/>
        <item x="1877"/>
        <item x="1911"/>
        <item x="1938"/>
        <item x="1858"/>
        <item x="1822"/>
        <item x="1813"/>
        <item x="1996"/>
        <item x="1818"/>
        <item x="1812"/>
        <item x="1968"/>
        <item x="1977"/>
        <item x="1906"/>
        <item x="1958"/>
        <item x="1961"/>
        <item x="1941"/>
        <item x="1930"/>
        <item x="1852"/>
        <item x="1896"/>
        <item x="1882"/>
        <item x="1949"/>
        <item x="1921"/>
        <item x="1937"/>
        <item x="1890"/>
        <item x="1910"/>
        <item x="1841"/>
        <item x="1997"/>
        <item x="1919"/>
        <item x="1928"/>
        <item x="1942"/>
        <item x="1922"/>
        <item x="2013"/>
        <item x="1878"/>
        <item x="1991"/>
        <item x="1857"/>
        <item x="1883"/>
        <item x="1987"/>
        <item x="1965"/>
        <item x="1915"/>
        <item x="1848"/>
        <item x="1868"/>
        <item x="1943"/>
        <item x="1950"/>
        <item x="2023"/>
        <item x="1939"/>
        <item x="1998"/>
        <item x="1914"/>
        <item x="1946"/>
        <item x="1954"/>
        <item x="1970"/>
        <item x="1982"/>
        <item x="1952"/>
        <item x="1929"/>
        <item x="1944"/>
        <item x="1843"/>
        <item x="1908"/>
        <item x="1840"/>
        <item x="1994"/>
        <item x="2011"/>
        <item x="1955"/>
        <item x="1979"/>
        <item x="1985"/>
        <item x="1956"/>
        <item x="1969"/>
        <item x="2020"/>
        <item x="2001"/>
        <item x="2016"/>
        <item x="1886"/>
        <item x="1981"/>
        <item x="1984"/>
        <item x="2007"/>
        <item x="1974"/>
        <item x="2029"/>
        <item x="1904"/>
        <item x="1960"/>
        <item x="2004"/>
        <item x="1988"/>
        <item x="2012"/>
        <item x="1980"/>
        <item x="1963"/>
        <item x="1972"/>
        <item x="1992"/>
        <item x="1948"/>
        <item x="2010"/>
        <item x="2038"/>
        <item x="1986"/>
        <item x="1978"/>
        <item x="1971"/>
        <item x="1995"/>
        <item x="1976"/>
        <item x="2019"/>
        <item x="2006"/>
        <item x="1962"/>
        <item x="2008"/>
        <item x="2021"/>
        <item x="2003"/>
        <item x="2015"/>
        <item x="1983"/>
        <item x="1932"/>
        <item x="2028"/>
        <item x="2047"/>
        <item x="1990"/>
        <item x="2024"/>
        <item x="2036"/>
        <item x="2025"/>
        <item x="2035"/>
        <item x="1993"/>
        <item x="2032"/>
        <item x="2017"/>
        <item x="2039"/>
        <item x="2009"/>
        <item x="1999"/>
        <item x="2043"/>
        <item x="2000"/>
        <item x="2030"/>
        <item x="2026"/>
        <item x="2037"/>
        <item x="2033"/>
        <item x="2034"/>
        <item x="2055"/>
        <item x="2014"/>
        <item x="2002"/>
        <item x="1989"/>
        <item x="2045"/>
        <item x="2027"/>
        <item x="2022"/>
        <item x="2046"/>
        <item x="2018"/>
        <item x="2005"/>
        <item x="2061"/>
        <item x="2042"/>
        <item x="2041"/>
        <item x="2031"/>
        <item x="2051"/>
        <item x="2053"/>
        <item x="2057"/>
        <item x="2048"/>
        <item x="2040"/>
        <item x="2062"/>
        <item x="2056"/>
        <item x="2071"/>
        <item x="2050"/>
        <item x="2052"/>
        <item x="2044"/>
        <item x="2049"/>
        <item x="2064"/>
        <item x="2065"/>
        <item x="2060"/>
        <item x="2058"/>
        <item x="2059"/>
        <item x="2075"/>
        <item x="2069"/>
        <item x="2063"/>
        <item x="2054"/>
        <item x="2070"/>
        <item x="2074"/>
        <item x="2081"/>
        <item x="2067"/>
        <item x="2076"/>
        <item x="2100"/>
        <item x="2066"/>
        <item x="2079"/>
        <item x="2080"/>
        <item x="2088"/>
        <item x="2085"/>
        <item x="2073"/>
        <item x="2092"/>
        <item x="2077"/>
        <item x="2087"/>
        <item x="2086"/>
        <item x="2089"/>
        <item x="2099"/>
        <item x="2082"/>
        <item x="2093"/>
        <item x="2078"/>
        <item x="2072"/>
        <item x="2105"/>
        <item x="2095"/>
        <item x="2083"/>
        <item x="2101"/>
        <item x="2091"/>
        <item x="2098"/>
        <item x="2068"/>
        <item x="2102"/>
        <item x="2104"/>
        <item x="2112"/>
        <item x="2097"/>
        <item x="2094"/>
        <item x="2096"/>
        <item x="2109"/>
        <item x="2111"/>
        <item x="2090"/>
        <item x="2084"/>
        <item x="2110"/>
        <item x="2138"/>
        <item x="2116"/>
        <item x="2108"/>
        <item x="2103"/>
        <item x="2130"/>
        <item x="2106"/>
        <item x="2119"/>
        <item x="2113"/>
        <item x="2107"/>
        <item x="2168"/>
        <item x="2136"/>
        <item x="2133"/>
        <item x="2135"/>
        <item x="2149"/>
        <item x="2123"/>
        <item x="2118"/>
        <item x="2117"/>
        <item x="2115"/>
        <item x="2143"/>
        <item x="2129"/>
        <item x="2142"/>
        <item x="2146"/>
        <item x="2137"/>
        <item x="2131"/>
        <item x="2157"/>
        <item x="2114"/>
        <item x="2127"/>
        <item x="2158"/>
        <item x="2120"/>
        <item x="2191"/>
        <item x="2154"/>
        <item x="2140"/>
        <item x="2160"/>
        <item x="2192"/>
        <item x="2144"/>
        <item x="2170"/>
        <item x="2210"/>
        <item x="2165"/>
        <item x="2148"/>
        <item x="2190"/>
        <item x="2124"/>
        <item x="2171"/>
        <item x="2224"/>
        <item x="2147"/>
        <item x="2128"/>
        <item x="2184"/>
        <item x="2121"/>
        <item x="2175"/>
        <item x="2141"/>
        <item x="2155"/>
        <item x="2193"/>
        <item x="2159"/>
        <item x="2163"/>
        <item x="2132"/>
        <item x="2150"/>
        <item x="2161"/>
        <item x="2134"/>
        <item x="2152"/>
        <item x="2126"/>
        <item x="2182"/>
        <item x="2162"/>
        <item x="2178"/>
        <item x="2181"/>
        <item x="2275"/>
        <item x="2221"/>
        <item x="2164"/>
        <item x="2139"/>
        <item x="2153"/>
        <item x="2122"/>
        <item x="2268"/>
        <item x="2156"/>
        <item x="2169"/>
        <item x="2188"/>
        <item x="2145"/>
        <item x="2189"/>
        <item x="2204"/>
        <item x="2173"/>
        <item x="2232"/>
        <item x="2167"/>
        <item x="2195"/>
        <item x="2174"/>
        <item x="2265"/>
        <item x="2218"/>
        <item x="2151"/>
        <item x="2282"/>
        <item x="2201"/>
        <item x="2185"/>
        <item x="2216"/>
        <item x="2198"/>
        <item x="2187"/>
        <item x="2205"/>
        <item x="2239"/>
        <item x="2176"/>
        <item x="2260"/>
        <item x="2179"/>
        <item x="2208"/>
        <item x="2215"/>
        <item x="2255"/>
        <item x="2263"/>
        <item x="2125"/>
        <item x="2196"/>
        <item x="2172"/>
        <item x="2217"/>
        <item x="2297"/>
        <item x="2226"/>
        <item x="2264"/>
        <item x="2207"/>
        <item x="2197"/>
        <item x="2166"/>
        <item x="2194"/>
        <item x="2183"/>
        <item x="2227"/>
        <item x="2289"/>
        <item x="2223"/>
        <item x="2262"/>
        <item x="2222"/>
        <item x="2214"/>
        <item x="2230"/>
        <item x="2290"/>
        <item x="2220"/>
        <item x="2257"/>
        <item x="2177"/>
        <item x="2200"/>
        <item x="2211"/>
        <item x="2266"/>
        <item x="2234"/>
        <item x="2251"/>
        <item x="2219"/>
        <item x="2180"/>
        <item x="2240"/>
        <item x="2281"/>
        <item x="2351"/>
        <item x="2280"/>
        <item x="2186"/>
        <item x="2206"/>
        <item x="2294"/>
        <item x="2209"/>
        <item x="2233"/>
        <item x="2199"/>
        <item x="2250"/>
        <item x="2274"/>
        <item x="2202"/>
        <item x="2299"/>
        <item x="2310"/>
        <item x="2278"/>
        <item x="2256"/>
        <item x="2277"/>
        <item x="2276"/>
        <item x="2254"/>
        <item x="2203"/>
        <item x="2242"/>
        <item x="2229"/>
        <item x="2314"/>
        <item x="2243"/>
        <item x="2272"/>
        <item x="2295"/>
        <item x="2249"/>
        <item x="2235"/>
        <item x="2244"/>
        <item x="2238"/>
        <item x="2291"/>
        <item x="2302"/>
        <item x="2267"/>
        <item x="2308"/>
        <item x="2245"/>
        <item x="2231"/>
        <item x="2259"/>
        <item x="2248"/>
        <item x="2301"/>
        <item x="2252"/>
        <item x="2313"/>
        <item x="2287"/>
        <item x="2261"/>
        <item x="2328"/>
        <item x="2237"/>
        <item x="2247"/>
        <item x="2335"/>
        <item x="2228"/>
        <item x="2292"/>
        <item x="2246"/>
        <item x="2270"/>
        <item x="2309"/>
        <item x="2269"/>
        <item x="2279"/>
        <item x="2288"/>
        <item x="2331"/>
        <item x="2253"/>
        <item x="2283"/>
        <item x="2258"/>
        <item x="2271"/>
        <item x="2300"/>
        <item x="2334"/>
        <item x="2284"/>
        <item x="2349"/>
        <item x="2296"/>
        <item x="2225"/>
        <item x="2241"/>
        <item x="2322"/>
        <item x="2311"/>
        <item x="2273"/>
        <item x="2303"/>
        <item x="2320"/>
        <item x="2286"/>
        <item x="2319"/>
        <item x="2337"/>
        <item x="2236"/>
        <item x="2307"/>
        <item x="2213"/>
        <item x="2343"/>
        <item x="2332"/>
        <item x="2306"/>
        <item x="2342"/>
        <item x="2285"/>
        <item x="2318"/>
        <item x="2212"/>
        <item x="2329"/>
        <item x="2365"/>
        <item x="2358"/>
        <item x="2293"/>
        <item x="2341"/>
        <item x="2323"/>
        <item x="2340"/>
        <item x="2333"/>
        <item x="2304"/>
        <item x="2316"/>
        <item x="2353"/>
        <item x="2330"/>
        <item x="2305"/>
        <item x="2348"/>
        <item x="2355"/>
        <item x="2312"/>
        <item x="2367"/>
        <item x="2346"/>
        <item x="2384"/>
        <item x="2321"/>
        <item x="2324"/>
        <item x="2339"/>
        <item x="2345"/>
        <item x="2383"/>
        <item x="2325"/>
        <item x="2352"/>
        <item x="2366"/>
        <item x="2350"/>
        <item x="2389"/>
        <item x="2298"/>
        <item x="2360"/>
        <item x="2388"/>
        <item x="2364"/>
        <item x="2336"/>
        <item x="2317"/>
        <item x="2362"/>
        <item x="2372"/>
        <item x="2376"/>
        <item x="2344"/>
        <item x="2375"/>
        <item x="2390"/>
        <item x="2327"/>
        <item x="2368"/>
        <item x="2357"/>
        <item x="2363"/>
        <item x="2374"/>
        <item x="2338"/>
        <item x="2378"/>
        <item x="2397"/>
        <item x="2347"/>
        <item x="2356"/>
        <item x="2394"/>
        <item x="2370"/>
        <item x="2380"/>
        <item x="2354"/>
        <item x="2371"/>
        <item x="2413"/>
        <item x="2361"/>
        <item x="2379"/>
        <item x="2326"/>
        <item x="2392"/>
        <item x="2359"/>
        <item x="2411"/>
        <item x="2399"/>
        <item x="2409"/>
        <item x="2315"/>
        <item x="2391"/>
        <item x="2386"/>
        <item x="2382"/>
        <item x="2369"/>
        <item x="2373"/>
        <item x="2393"/>
        <item x="2404"/>
        <item x="2396"/>
        <item x="2402"/>
        <item x="2400"/>
        <item x="2408"/>
        <item x="2395"/>
        <item x="2377"/>
        <item x="2405"/>
        <item x="2403"/>
        <item x="2381"/>
        <item x="2406"/>
        <item x="2417"/>
        <item x="2414"/>
        <item x="2401"/>
        <item x="2387"/>
        <item x="2410"/>
        <item x="2398"/>
        <item x="2415"/>
        <item x="2407"/>
        <item x="2435"/>
        <item x="2412"/>
        <item x="2420"/>
        <item x="2385"/>
        <item x="2424"/>
        <item x="2418"/>
        <item x="2430"/>
        <item x="2419"/>
        <item x="2431"/>
        <item x="2416"/>
        <item x="2425"/>
        <item x="2421"/>
        <item x="2440"/>
        <item x="2444"/>
        <item x="2441"/>
        <item x="2428"/>
        <item x="2454"/>
        <item x="2446"/>
        <item x="2426"/>
        <item x="2423"/>
        <item x="2437"/>
        <item x="2433"/>
        <item x="2439"/>
        <item x="2481"/>
        <item x="2473"/>
        <item x="2471"/>
        <item x="2451"/>
        <item x="2422"/>
        <item x="2436"/>
        <item x="2497"/>
        <item x="2466"/>
        <item x="2445"/>
        <item x="2456"/>
        <item x="2429"/>
        <item x="2475"/>
        <item x="2478"/>
        <item x="2447"/>
        <item x="2488"/>
        <item x="2443"/>
        <item x="2427"/>
        <item x="2462"/>
        <item x="2434"/>
        <item x="2507"/>
        <item x="2452"/>
        <item x="2477"/>
        <item x="2467"/>
        <item x="2455"/>
        <item x="2458"/>
        <item x="2484"/>
        <item x="2460"/>
        <item x="2442"/>
        <item x="2505"/>
        <item x="2453"/>
        <item x="2469"/>
        <item x="2457"/>
        <item x="2487"/>
        <item x="2500"/>
        <item x="2438"/>
        <item x="2461"/>
        <item x="2448"/>
        <item x="2492"/>
        <item x="2459"/>
        <item x="2489"/>
        <item x="2463"/>
        <item x="2483"/>
        <item x="2449"/>
        <item x="2474"/>
        <item x="2517"/>
        <item x="2493"/>
        <item x="2464"/>
        <item x="2432"/>
        <item x="2495"/>
        <item x="2512"/>
        <item x="2468"/>
        <item x="2491"/>
        <item x="2499"/>
        <item x="2498"/>
        <item x="2476"/>
        <item x="2490"/>
        <item x="2503"/>
        <item x="2450"/>
        <item x="2465"/>
        <item x="2502"/>
        <item x="2479"/>
        <item x="2472"/>
        <item x="2485"/>
        <item x="2519"/>
        <item x="2496"/>
        <item x="2510"/>
        <item x="2482"/>
        <item x="2522"/>
        <item x="2606"/>
        <item x="2521"/>
        <item x="2504"/>
        <item x="2511"/>
        <item x="2486"/>
        <item x="2470"/>
        <item x="2556"/>
        <item x="2513"/>
        <item x="2518"/>
        <item x="2552"/>
        <item x="2494"/>
        <item x="2532"/>
        <item x="2508"/>
        <item x="2506"/>
        <item x="2480"/>
        <item x="2514"/>
        <item x="2608"/>
        <item x="2528"/>
        <item x="2501"/>
        <item x="2526"/>
        <item x="2524"/>
        <item x="2515"/>
        <item x="2520"/>
        <item x="2554"/>
        <item x="2609"/>
        <item x="2509"/>
        <item x="2541"/>
        <item x="2516"/>
        <item x="2538"/>
        <item x="2534"/>
        <item x="2525"/>
        <item x="2530"/>
        <item x="2566"/>
        <item x="2547"/>
        <item x="2527"/>
        <item x="2544"/>
        <item x="2549"/>
        <item x="2539"/>
        <item x="2548"/>
        <item x="2540"/>
        <item x="2523"/>
        <item x="2543"/>
        <item x="2563"/>
        <item x="2553"/>
        <item x="2531"/>
        <item x="2572"/>
        <item x="2536"/>
        <item x="2545"/>
        <item x="2542"/>
        <item x="2551"/>
        <item x="2564"/>
        <item x="2562"/>
        <item x="2605"/>
        <item x="2529"/>
        <item x="2546"/>
        <item x="2561"/>
        <item x="2681"/>
        <item x="2557"/>
        <item x="2570"/>
        <item x="2535"/>
        <item x="2555"/>
        <item x="2571"/>
        <item x="2537"/>
        <item x="2550"/>
        <item x="2533"/>
        <item x="2611"/>
        <item x="2558"/>
        <item x="2565"/>
        <item x="2582"/>
        <item x="2590"/>
        <item x="2574"/>
        <item x="2576"/>
        <item x="2600"/>
        <item x="2593"/>
        <item x="2560"/>
        <item x="2568"/>
        <item x="2668"/>
        <item x="2596"/>
        <item x="2578"/>
        <item x="2598"/>
        <item x="2587"/>
        <item x="2569"/>
        <item x="2586"/>
        <item x="2624"/>
        <item x="2588"/>
        <item x="2579"/>
        <item x="2584"/>
        <item x="2631"/>
        <item x="2577"/>
        <item x="2589"/>
        <item x="2573"/>
        <item x="2594"/>
        <item x="2612"/>
        <item x="2583"/>
        <item x="2575"/>
        <item x="2597"/>
        <item x="2559"/>
        <item x="2585"/>
        <item x="2599"/>
        <item x="2617"/>
        <item x="2603"/>
        <item x="2610"/>
        <item x="2636"/>
        <item x="2580"/>
        <item x="2604"/>
        <item x="2567"/>
        <item x="2629"/>
        <item x="2601"/>
        <item x="2645"/>
        <item x="2595"/>
        <item x="2581"/>
        <item x="2641"/>
        <item x="2620"/>
        <item x="2614"/>
        <item x="2616"/>
        <item x="2607"/>
        <item x="2613"/>
        <item x="2644"/>
        <item x="2667"/>
        <item x="2592"/>
        <item x="2637"/>
        <item x="2653"/>
        <item x="2633"/>
        <item x="2591"/>
        <item x="2615"/>
        <item x="2618"/>
        <item x="2623"/>
        <item x="2651"/>
        <item x="2654"/>
        <item x="2635"/>
        <item x="2625"/>
        <item x="2622"/>
        <item x="2638"/>
        <item x="2621"/>
        <item x="2602"/>
        <item x="2628"/>
        <item x="2642"/>
        <item x="2652"/>
        <item x="2630"/>
        <item x="2674"/>
        <item x="2626"/>
        <item x="2680"/>
        <item x="2683"/>
        <item x="2619"/>
        <item x="2627"/>
        <item x="2647"/>
        <item x="2646"/>
        <item x="2650"/>
        <item x="2658"/>
        <item x="2649"/>
        <item x="2661"/>
        <item x="2634"/>
        <item x="2686"/>
        <item x="2640"/>
        <item x="2675"/>
        <item x="2682"/>
        <item x="2677"/>
        <item x="2632"/>
        <item x="2639"/>
        <item x="2657"/>
        <item x="2664"/>
        <item x="2671"/>
        <item x="2690"/>
        <item x="2692"/>
        <item x="2648"/>
        <item x="2663"/>
        <item x="2676"/>
        <item x="2643"/>
        <item x="2694"/>
        <item x="2684"/>
        <item x="2656"/>
        <item x="2678"/>
        <item x="2693"/>
        <item x="2659"/>
        <item x="2670"/>
        <item x="2691"/>
        <item x="2660"/>
        <item x="2666"/>
        <item x="2699"/>
        <item x="2662"/>
        <item x="2673"/>
        <item x="2687"/>
        <item x="2665"/>
        <item x="2679"/>
        <item x="2669"/>
        <item x="2697"/>
        <item x="2672"/>
        <item x="2685"/>
        <item x="2695"/>
        <item x="2696"/>
        <item x="2655"/>
        <item x="2689"/>
        <item x="2700"/>
        <item x="2688"/>
        <item x="2702"/>
        <item x="2704"/>
        <item x="2701"/>
        <item x="2698"/>
        <item x="2715"/>
        <item x="2705"/>
        <item x="2719"/>
        <item x="2703"/>
        <item x="2714"/>
        <item x="2717"/>
        <item x="2707"/>
        <item x="2713"/>
        <item x="2720"/>
        <item x="2711"/>
        <item x="2708"/>
        <item x="2724"/>
        <item x="2730"/>
        <item x="2706"/>
        <item x="2722"/>
        <item x="2718"/>
        <item x="2712"/>
        <item x="2716"/>
        <item x="2721"/>
        <item x="2710"/>
        <item x="2709"/>
        <item x="2726"/>
        <item x="2728"/>
        <item x="2752"/>
        <item x="2725"/>
        <item x="2723"/>
        <item x="2731"/>
        <item x="2733"/>
        <item x="2732"/>
        <item x="2729"/>
        <item x="2727"/>
        <item x="2736"/>
        <item x="2738"/>
        <item x="2735"/>
        <item x="2737"/>
        <item x="2739"/>
        <item x="2742"/>
        <item x="2740"/>
        <item x="2734"/>
        <item x="2759"/>
        <item x="2750"/>
        <item x="2741"/>
        <item x="2760"/>
        <item x="2746"/>
        <item x="2745"/>
        <item x="2743"/>
        <item x="2748"/>
        <item x="2758"/>
        <item x="2749"/>
        <item x="2761"/>
        <item x="2747"/>
        <item x="2753"/>
        <item x="2744"/>
        <item x="2769"/>
        <item x="2767"/>
        <item x="2762"/>
        <item x="2751"/>
        <item x="2773"/>
        <item x="2754"/>
        <item x="2792"/>
        <item x="2757"/>
        <item x="2800"/>
        <item x="2772"/>
        <item x="2771"/>
        <item x="2766"/>
        <item x="2795"/>
        <item x="2785"/>
        <item x="2755"/>
        <item x="2768"/>
        <item x="2776"/>
        <item x="2797"/>
        <item x="2778"/>
        <item x="2764"/>
        <item x="2819"/>
        <item x="2789"/>
        <item x="2763"/>
        <item x="2784"/>
        <item x="2775"/>
        <item x="2756"/>
        <item x="2805"/>
        <item x="2780"/>
        <item x="2794"/>
        <item x="2777"/>
        <item x="2786"/>
        <item x="2770"/>
        <item x="2781"/>
        <item x="2774"/>
        <item x="2765"/>
        <item x="2821"/>
        <item x="2804"/>
        <item x="2782"/>
        <item x="2798"/>
        <item x="2788"/>
        <item x="2790"/>
        <item x="2811"/>
        <item x="2833"/>
        <item x="2793"/>
        <item x="2787"/>
        <item x="2783"/>
        <item x="2791"/>
        <item x="2796"/>
        <item x="2809"/>
        <item x="2779"/>
        <item x="2813"/>
        <item x="2836"/>
        <item x="2802"/>
        <item x="2828"/>
        <item x="2826"/>
        <item x="2830"/>
        <item x="2799"/>
        <item x="2824"/>
        <item x="2807"/>
        <item x="2801"/>
        <item x="2820"/>
        <item x="2803"/>
        <item x="2808"/>
        <item x="2810"/>
        <item x="2818"/>
        <item x="2844"/>
        <item x="2840"/>
        <item x="2849"/>
        <item x="2829"/>
        <item x="2837"/>
        <item x="2825"/>
        <item x="2817"/>
        <item x="2835"/>
        <item x="2815"/>
        <item x="2873"/>
        <item x="2832"/>
        <item x="2814"/>
        <item x="2876"/>
        <item x="2823"/>
        <item x="2842"/>
        <item x="2812"/>
        <item x="2860"/>
        <item x="2806"/>
        <item x="2822"/>
        <item x="2839"/>
        <item x="2831"/>
        <item x="2888"/>
        <item x="3014"/>
        <item x="2827"/>
        <item x="3026"/>
        <item x="2841"/>
        <item x="2853"/>
        <item x="2843"/>
        <item x="2848"/>
        <item x="3011"/>
        <item x="3022"/>
        <item x="2816"/>
        <item x="2834"/>
        <item x="3029"/>
        <item x="2861"/>
        <item x="2846"/>
        <item x="3003"/>
        <item x="3020"/>
        <item x="2854"/>
        <item x="3038"/>
        <item x="3021"/>
        <item x="2847"/>
        <item x="2858"/>
        <item x="2893"/>
        <item x="2887"/>
        <item x="3030"/>
        <item x="2852"/>
        <item x="2874"/>
        <item x="2859"/>
        <item x="3018"/>
        <item x="2877"/>
        <item x="3085"/>
        <item x="3019"/>
        <item x="2884"/>
        <item x="2857"/>
        <item x="2882"/>
        <item x="2851"/>
        <item x="3016"/>
        <item x="2878"/>
        <item x="3138"/>
        <item x="3008"/>
        <item x="3023"/>
        <item x="2872"/>
        <item x="2838"/>
        <item x="2875"/>
        <item x="3054"/>
        <item x="2850"/>
        <item x="2899"/>
        <item x="2856"/>
        <item x="2862"/>
        <item x="2885"/>
        <item x="2845"/>
        <item x="3013"/>
        <item x="3028"/>
        <item x="3017"/>
        <item x="3058"/>
        <item x="2868"/>
        <item x="2886"/>
        <item x="3050"/>
        <item x="3079"/>
        <item x="3049"/>
        <item x="2864"/>
        <item x="3076"/>
        <item x="3033"/>
        <item x="3052"/>
        <item x="3098"/>
        <item x="3015"/>
        <item x="2908"/>
        <item x="3130"/>
        <item x="3053"/>
        <item x="3010"/>
        <item x="2866"/>
        <item x="3084"/>
        <item x="2855"/>
        <item x="3064"/>
        <item x="3039"/>
        <item x="3044"/>
        <item x="2871"/>
        <item x="2901"/>
        <item x="2892"/>
        <item x="2883"/>
        <item x="3094"/>
        <item x="3035"/>
        <item x="3068"/>
        <item x="3061"/>
        <item x="2865"/>
        <item x="2979"/>
        <item x="3004"/>
        <item x="3034"/>
        <item x="3055"/>
        <item x="2869"/>
        <item x="3074"/>
        <item x="3000"/>
        <item x="3104"/>
        <item x="2863"/>
        <item x="2889"/>
        <item x="3024"/>
        <item x="3012"/>
        <item x="3101"/>
        <item x="3088"/>
        <item x="3048"/>
        <item x="3005"/>
        <item x="3096"/>
        <item x="2880"/>
        <item x="3040"/>
        <item x="3067"/>
        <item x="3135"/>
        <item x="3153"/>
        <item x="3100"/>
        <item x="3001"/>
        <item x="3025"/>
        <item x="3062"/>
        <item x="3126"/>
        <item x="3007"/>
        <item x="2881"/>
        <item x="2933"/>
        <item x="3041"/>
        <item x="3063"/>
        <item x="2971"/>
        <item x="3150"/>
        <item x="3137"/>
        <item x="3037"/>
        <item x="2897"/>
        <item x="3078"/>
        <item x="3069"/>
        <item x="3114"/>
        <item x="3091"/>
        <item x="2879"/>
        <item x="3059"/>
        <item x="2895"/>
        <item x="3102"/>
        <item x="2996"/>
        <item x="3099"/>
        <item x="3129"/>
        <item x="2867"/>
        <item x="3148"/>
        <item x="2898"/>
        <item x="3087"/>
        <item x="3119"/>
        <item x="3103"/>
        <item x="2870"/>
        <item x="3089"/>
        <item x="2915"/>
        <item x="2991"/>
        <item x="3142"/>
        <item x="3042"/>
        <item x="3154"/>
        <item x="3009"/>
        <item x="3073"/>
        <item x="3169"/>
        <item x="2902"/>
        <item x="3047"/>
        <item x="3051"/>
        <item x="3002"/>
        <item x="3075"/>
        <item x="3111"/>
        <item x="3132"/>
        <item x="3057"/>
        <item x="2987"/>
        <item x="3147"/>
        <item x="2891"/>
        <item x="3108"/>
        <item x="2911"/>
        <item x="3095"/>
        <item x="3118"/>
        <item x="3172"/>
        <item x="2934"/>
        <item x="3036"/>
        <item x="3143"/>
        <item x="2903"/>
        <item x="3122"/>
        <item x="3031"/>
        <item x="2909"/>
        <item x="3032"/>
        <item x="2890"/>
        <item x="3065"/>
        <item x="3124"/>
        <item x="3027"/>
        <item x="3097"/>
        <item x="2998"/>
        <item x="3121"/>
        <item x="2924"/>
        <item x="3140"/>
        <item x="3080"/>
        <item x="2904"/>
        <item x="3092"/>
        <item x="2992"/>
        <item x="3043"/>
        <item x="2896"/>
        <item x="3066"/>
        <item x="2989"/>
        <item x="3046"/>
        <item x="3056"/>
        <item x="3177"/>
        <item x="2920"/>
        <item x="2943"/>
        <item x="3131"/>
        <item x="3077"/>
        <item x="3106"/>
        <item x="3116"/>
        <item x="2964"/>
        <item x="2923"/>
        <item x="2990"/>
        <item x="2910"/>
        <item x="2928"/>
        <item x="3117"/>
        <item x="3164"/>
        <item x="3082"/>
        <item x="3105"/>
        <item x="2993"/>
        <item x="2894"/>
        <item x="3113"/>
        <item x="3083"/>
        <item x="2921"/>
        <item x="3125"/>
        <item x="2939"/>
        <item x="3072"/>
        <item x="3045"/>
        <item x="3115"/>
        <item x="3006"/>
        <item x="2907"/>
        <item x="2922"/>
        <item x="3133"/>
        <item x="3060"/>
        <item x="3070"/>
        <item x="3112"/>
        <item x="2914"/>
        <item x="3141"/>
        <item x="3182"/>
        <item x="3081"/>
        <item x="2999"/>
        <item x="3128"/>
        <item x="3146"/>
        <item x="2932"/>
        <item x="2963"/>
        <item x="2997"/>
        <item x="2918"/>
        <item x="3134"/>
        <item x="2945"/>
        <item x="2981"/>
        <item x="3109"/>
        <item x="3171"/>
        <item x="3090"/>
        <item x="3158"/>
        <item x="2960"/>
        <item x="3086"/>
        <item x="2944"/>
        <item x="3093"/>
        <item x="2980"/>
        <item x="2969"/>
        <item x="3183"/>
        <item x="2905"/>
        <item x="3107"/>
        <item x="2940"/>
        <item x="2913"/>
        <item x="2976"/>
        <item x="2954"/>
        <item x="2946"/>
        <item x="3157"/>
        <item x="3120"/>
        <item x="3127"/>
        <item x="3152"/>
        <item x="2982"/>
        <item x="2995"/>
        <item x="2966"/>
        <item x="3123"/>
        <item x="2935"/>
        <item x="2917"/>
        <item x="2900"/>
        <item x="3071"/>
        <item x="3149"/>
        <item x="2931"/>
        <item x="3151"/>
        <item x="2974"/>
        <item x="2919"/>
        <item x="2955"/>
        <item x="3159"/>
        <item x="2975"/>
        <item x="2985"/>
        <item x="2916"/>
        <item x="2973"/>
        <item x="3136"/>
        <item x="2927"/>
        <item x="2949"/>
        <item x="2988"/>
        <item x="3139"/>
        <item x="2929"/>
        <item x="2961"/>
        <item x="2942"/>
        <item x="2930"/>
        <item x="3187"/>
        <item x="2906"/>
        <item x="2983"/>
        <item x="2994"/>
        <item x="2970"/>
        <item x="2937"/>
        <item x="3110"/>
        <item x="2952"/>
        <item x="2965"/>
        <item x="3155"/>
        <item x="3163"/>
        <item x="3179"/>
        <item x="2936"/>
        <item x="3186"/>
        <item x="3210"/>
        <item x="3168"/>
        <item x="2951"/>
        <item x="2967"/>
        <item x="3161"/>
        <item x="2948"/>
        <item x="3181"/>
        <item x="2912"/>
        <item x="3144"/>
        <item x="2957"/>
        <item x="3160"/>
        <item x="2947"/>
        <item x="3178"/>
        <item x="3209"/>
        <item x="3166"/>
        <item x="2956"/>
        <item x="2978"/>
        <item x="3165"/>
        <item x="2950"/>
        <item x="2977"/>
        <item x="2962"/>
        <item x="3156"/>
        <item x="3162"/>
        <item x="3170"/>
        <item x="3190"/>
        <item x="2959"/>
        <item x="3194"/>
        <item x="2938"/>
        <item x="3173"/>
        <item x="3822"/>
        <item x="2986"/>
        <item x="2925"/>
        <item x="2958"/>
        <item x="3167"/>
        <item x="3145"/>
        <item x="3202"/>
        <item x="2984"/>
        <item x="3175"/>
        <item x="3176"/>
        <item x="2941"/>
        <item x="2968"/>
        <item x="3174"/>
        <item x="3208"/>
        <item x="3193"/>
        <item x="2972"/>
        <item x="3184"/>
        <item x="2953"/>
        <item x="3200"/>
        <item x="3189"/>
        <item x="2926"/>
        <item x="3180"/>
        <item x="3215"/>
        <item x="3195"/>
        <item x="3236"/>
        <item x="3204"/>
        <item x="3235"/>
        <item x="3221"/>
        <item x="3214"/>
        <item x="3191"/>
        <item x="3185"/>
        <item x="3205"/>
        <item x="3206"/>
        <item x="3197"/>
        <item x="3232"/>
        <item x="3188"/>
        <item x="3212"/>
        <item x="3216"/>
        <item x="3266"/>
        <item x="3196"/>
        <item x="3218"/>
        <item x="3244"/>
        <item x="3192"/>
        <item x="3239"/>
        <item x="3243"/>
        <item x="3201"/>
        <item x="3199"/>
        <item x="3229"/>
        <item x="3226"/>
        <item x="3213"/>
        <item x="3240"/>
        <item x="3251"/>
        <item x="3230"/>
        <item x="3207"/>
        <item x="3203"/>
        <item x="3217"/>
        <item x="3198"/>
        <item x="3225"/>
        <item x="3231"/>
        <item x="3220"/>
        <item x="3234"/>
        <item x="3419"/>
        <item x="3223"/>
        <item x="3228"/>
        <item x="3245"/>
        <item x="3248"/>
        <item x="3222"/>
        <item x="3238"/>
        <item x="3224"/>
        <item x="3233"/>
        <item x="3256"/>
        <item x="3297"/>
        <item x="3219"/>
        <item x="3242"/>
        <item x="3320"/>
        <item x="3335"/>
        <item x="3211"/>
        <item x="3249"/>
        <item x="3227"/>
        <item x="3254"/>
        <item x="3343"/>
        <item x="3319"/>
        <item x="3303"/>
        <item x="3241"/>
        <item x="3324"/>
        <item x="3469"/>
        <item x="3827"/>
        <item x="3413"/>
        <item x="3344"/>
        <item x="3273"/>
        <item x="3237"/>
        <item x="3843"/>
        <item x="3246"/>
        <item x="3474"/>
        <item x="3270"/>
        <item x="3247"/>
        <item x="3318"/>
        <item x="3331"/>
        <item x="3253"/>
        <item x="3316"/>
        <item x="3332"/>
        <item x="3307"/>
        <item x="3338"/>
        <item x="3283"/>
        <item x="3272"/>
        <item x="3472"/>
        <item x="3315"/>
        <item x="3260"/>
        <item x="3823"/>
        <item x="3476"/>
        <item x="3285"/>
        <item x="3262"/>
        <item x="3281"/>
        <item x="3323"/>
        <item x="3250"/>
        <item x="3830"/>
        <item x="3414"/>
        <item x="3821"/>
        <item x="3252"/>
        <item x="3300"/>
        <item x="3312"/>
        <item x="3430"/>
        <item x="3824"/>
        <item x="3834"/>
        <item x="3264"/>
        <item x="3475"/>
        <item x="3321"/>
        <item x="3415"/>
        <item x="3314"/>
        <item x="3299"/>
        <item x="3835"/>
        <item x="3818"/>
        <item x="3337"/>
        <item x="3294"/>
        <item x="3826"/>
        <item x="3274"/>
        <item x="3304"/>
        <item x="3298"/>
        <item x="3466"/>
        <item x="3427"/>
        <item x="3838"/>
        <item x="3259"/>
        <item x="3846"/>
        <item x="3284"/>
        <item x="3302"/>
        <item x="3342"/>
        <item x="3471"/>
        <item x="3418"/>
        <item x="3268"/>
        <item x="3287"/>
        <item x="3355"/>
        <item x="3267"/>
        <item x="3328"/>
        <item x="3440"/>
        <item x="3313"/>
        <item x="3276"/>
        <item x="3478"/>
        <item x="3346"/>
        <item x="3422"/>
        <item x="3325"/>
        <item x="3832"/>
        <item x="3310"/>
        <item x="3385"/>
        <item x="3275"/>
        <item x="3295"/>
        <item x="3477"/>
        <item x="3497"/>
        <item x="3828"/>
        <item x="3290"/>
        <item x="3616"/>
        <item x="3278"/>
        <item x="3330"/>
        <item x="3372"/>
        <item x="3255"/>
        <item x="3825"/>
        <item x="3465"/>
        <item x="3296"/>
        <item x="3306"/>
        <item x="3480"/>
        <item x="3347"/>
        <item x="3261"/>
        <item x="3500"/>
        <item x="3334"/>
        <item x="3351"/>
        <item x="3365"/>
        <item x="3288"/>
        <item x="3484"/>
        <item x="3836"/>
        <item x="3333"/>
        <item x="3311"/>
        <item x="3392"/>
        <item x="3357"/>
        <item x="3257"/>
        <item x="3841"/>
        <item x="3408"/>
        <item x="3856"/>
        <item x="3301"/>
        <item x="3361"/>
        <item x="3265"/>
        <item x="3279"/>
        <item x="3611"/>
        <item x="3258"/>
        <item x="3844"/>
        <item x="3473"/>
        <item x="3286"/>
        <item x="3329"/>
        <item x="3831"/>
        <item x="3612"/>
        <item x="3362"/>
        <item x="3348"/>
        <item x="3309"/>
        <item x="3467"/>
        <item x="3819"/>
        <item x="3277"/>
        <item x="3339"/>
        <item x="3336"/>
        <item x="3483"/>
        <item x="3271"/>
        <item x="3468"/>
        <item x="3282"/>
        <item x="3269"/>
        <item x="3412"/>
        <item x="3829"/>
        <item x="3380"/>
        <item x="3424"/>
        <item x="3524"/>
        <item x="3326"/>
        <item x="3848"/>
        <item x="3416"/>
        <item x="3816"/>
        <item x="3840"/>
        <item x="3359"/>
        <item x="3498"/>
        <item x="3470"/>
        <item x="3280"/>
        <item x="3291"/>
        <item x="3263"/>
        <item x="3410"/>
        <item x="3854"/>
        <item x="3486"/>
        <item x="3289"/>
        <item x="3360"/>
        <item x="3382"/>
        <item x="3479"/>
        <item x="3445"/>
        <item x="3845"/>
        <item x="3817"/>
        <item x="3389"/>
        <item x="3869"/>
        <item x="3423"/>
        <item x="3417"/>
        <item x="3485"/>
        <item x="3847"/>
        <item x="3395"/>
        <item x="3305"/>
        <item x="3371"/>
        <item x="3322"/>
        <item x="3550"/>
        <item x="3411"/>
        <item x="3432"/>
        <item x="3426"/>
        <item x="3862"/>
        <item x="3762"/>
        <item x="3849"/>
        <item x="3349"/>
        <item x="3308"/>
        <item x="3383"/>
        <item x="3398"/>
        <item x="3453"/>
        <item x="3839"/>
        <item x="3421"/>
        <item x="3613"/>
        <item x="3345"/>
        <item x="3502"/>
        <item x="3638"/>
        <item x="3358"/>
        <item x="3327"/>
        <item x="3528"/>
        <item x="3495"/>
        <item x="3448"/>
        <item x="3540"/>
        <item x="3499"/>
        <item x="3489"/>
        <item x="3428"/>
        <item x="3407"/>
        <item x="3293"/>
        <item x="3449"/>
        <item x="3850"/>
        <item x="3341"/>
        <item x="3863"/>
        <item x="3461"/>
        <item x="3388"/>
        <item x="3820"/>
        <item x="3505"/>
        <item x="3373"/>
        <item x="3491"/>
        <item x="3292"/>
        <item x="3610"/>
        <item x="3860"/>
        <item x="3460"/>
        <item x="3387"/>
        <item x="3864"/>
        <item x="3809"/>
        <item x="3378"/>
        <item x="3425"/>
        <item x="3366"/>
        <item x="3614"/>
        <item x="3490"/>
        <item x="3506"/>
        <item x="3420"/>
        <item x="3376"/>
        <item x="3562"/>
        <item x="3394"/>
        <item x="3363"/>
        <item x="3853"/>
        <item x="3442"/>
        <item x="3494"/>
        <item x="3317"/>
        <item x="3367"/>
        <item x="3557"/>
        <item x="3354"/>
        <item x="3450"/>
        <item x="3436"/>
        <item x="3492"/>
        <item x="3350"/>
        <item x="3525"/>
        <item x="3501"/>
        <item x="3615"/>
        <item x="3368"/>
        <item x="3559"/>
        <item x="3896"/>
        <item x="3446"/>
        <item x="3433"/>
        <item x="3851"/>
        <item x="3482"/>
        <item x="3526"/>
        <item x="3535"/>
        <item x="3396"/>
        <item x="3340"/>
        <item x="3764"/>
        <item x="3509"/>
        <item x="3379"/>
        <item x="3852"/>
        <item x="3447"/>
        <item x="3386"/>
        <item x="3503"/>
        <item x="3555"/>
        <item x="3858"/>
        <item x="3369"/>
        <item x="3400"/>
        <item x="3537"/>
        <item x="3833"/>
        <item x="3452"/>
        <item x="3622"/>
        <item x="3353"/>
        <item x="3857"/>
        <item x="3510"/>
        <item x="3842"/>
        <item x="3441"/>
        <item x="3352"/>
        <item x="3391"/>
        <item x="3625"/>
        <item x="3496"/>
        <item x="3377"/>
        <item x="3431"/>
        <item x="3552"/>
        <item x="3609"/>
        <item x="3435"/>
        <item x="3364"/>
        <item x="3617"/>
        <item x="3464"/>
        <item x="3659"/>
        <item x="3523"/>
        <item x="3481"/>
        <item x="3454"/>
        <item x="3384"/>
        <item x="3459"/>
        <item x="3508"/>
        <item x="3443"/>
        <item x="3401"/>
        <item x="3566"/>
        <item x="3551"/>
        <item x="3538"/>
        <item x="3444"/>
        <item x="3877"/>
        <item x="3766"/>
        <item x="3517"/>
        <item x="3626"/>
        <item x="3913"/>
        <item x="3861"/>
        <item x="3543"/>
        <item x="3634"/>
        <item x="3522"/>
        <item x="3572"/>
        <item x="3393"/>
        <item x="3588"/>
        <item x="3870"/>
        <item x="3434"/>
        <item x="3519"/>
        <item x="3602"/>
        <item x="3404"/>
        <item x="3653"/>
        <item x="3630"/>
        <item x="3375"/>
        <item x="3879"/>
        <item x="3859"/>
        <item x="3370"/>
        <item x="3356"/>
        <item x="3761"/>
        <item x="3515"/>
        <item x="3405"/>
        <item x="3429"/>
        <item x="3390"/>
        <item x="3837"/>
        <item x="3533"/>
        <item x="3527"/>
        <item x="3397"/>
        <item x="3855"/>
        <item x="3621"/>
        <item x="3813"/>
        <item x="3451"/>
        <item x="3487"/>
        <item x="3381"/>
        <item x="3518"/>
        <item x="3530"/>
        <item x="3619"/>
        <item x="3904"/>
        <item x="3815"/>
        <item x="3438"/>
        <item x="3553"/>
        <item x="3374"/>
        <item x="3567"/>
        <item x="3696"/>
        <item x="3514"/>
        <item x="3458"/>
        <item x="3406"/>
        <item x="3808"/>
        <item x="3875"/>
        <item x="3439"/>
        <item x="3871"/>
        <item x="3646"/>
        <item x="3546"/>
        <item x="3581"/>
        <item x="3558"/>
        <item x="3534"/>
        <item x="3504"/>
        <item x="3521"/>
        <item x="3409"/>
        <item x="3603"/>
        <item x="3888"/>
        <item x="3867"/>
        <item x="3789"/>
        <item x="3593"/>
        <item x="3640"/>
        <item x="3437"/>
        <item x="3627"/>
        <item x="3456"/>
        <item x="3887"/>
        <item x="3403"/>
        <item x="3565"/>
        <item x="3463"/>
        <item x="3648"/>
        <item x="3878"/>
        <item x="3657"/>
        <item x="3493"/>
        <item x="3516"/>
        <item x="3457"/>
        <item x="3897"/>
        <item x="3520"/>
        <item x="3865"/>
        <item x="3511"/>
        <item x="3661"/>
        <item x="3542"/>
        <item x="3561"/>
        <item x="3620"/>
        <item x="3874"/>
        <item x="3513"/>
        <item x="3549"/>
        <item x="3536"/>
        <item x="3532"/>
        <item x="3570"/>
        <item x="3675"/>
        <item x="3402"/>
        <item x="3633"/>
        <item x="3512"/>
        <item x="3507"/>
        <item x="3814"/>
        <item x="3710"/>
        <item x="3605"/>
        <item x="3643"/>
        <item x="3911"/>
        <item x="3881"/>
        <item x="3544"/>
        <item x="3812"/>
        <item x="3651"/>
        <item x="3886"/>
        <item x="3556"/>
        <item x="3607"/>
        <item x="3880"/>
        <item x="3589"/>
        <item x="3554"/>
        <item x="3541"/>
        <item x="3563"/>
        <item x="3636"/>
        <item x="3901"/>
        <item x="3647"/>
        <item x="3548"/>
        <item x="3872"/>
        <item x="3920"/>
        <item x="3582"/>
        <item x="3807"/>
        <item x="3686"/>
        <item x="3906"/>
        <item x="3545"/>
        <item x="3645"/>
        <item x="3917"/>
        <item x="3618"/>
        <item x="3652"/>
        <item x="3868"/>
        <item x="3455"/>
        <item x="3624"/>
        <item x="3771"/>
        <item x="3660"/>
        <item x="3569"/>
        <item x="3811"/>
        <item x="3488"/>
        <item x="3885"/>
        <item x="3592"/>
        <item x="3564"/>
        <item x="3576"/>
        <item x="3890"/>
        <item x="3650"/>
        <item x="3637"/>
        <item x="3586"/>
        <item x="3919"/>
        <item x="3889"/>
        <item x="3635"/>
        <item x="3539"/>
        <item x="3882"/>
        <item x="3900"/>
        <item x="3462"/>
        <item x="3606"/>
        <item x="3596"/>
        <item x="3531"/>
        <item x="3571"/>
        <item x="3682"/>
        <item x="3399"/>
        <item x="3579"/>
        <item x="3876"/>
        <item x="3674"/>
        <item x="3792"/>
        <item x="3803"/>
        <item x="3642"/>
        <item x="3717"/>
        <item x="3597"/>
        <item x="3628"/>
        <item x="3662"/>
        <item x="3705"/>
        <item x="3667"/>
        <item x="3810"/>
        <item x="3726"/>
        <item x="3971"/>
        <item x="3933"/>
        <item x="3529"/>
        <item x="3805"/>
        <item x="3580"/>
        <item x="3912"/>
        <item x="3791"/>
        <item x="3668"/>
        <item x="3574"/>
        <item x="3899"/>
        <item x="3656"/>
        <item x="3723"/>
        <item x="3664"/>
        <item x="3547"/>
        <item x="3733"/>
        <item x="3866"/>
        <item x="3694"/>
        <item x="3722"/>
        <item x="3908"/>
        <item x="3893"/>
        <item x="3560"/>
        <item x="3578"/>
        <item x="3644"/>
        <item x="3658"/>
        <item x="3598"/>
        <item x="3773"/>
        <item x="3604"/>
        <item x="3903"/>
        <item x="3981"/>
        <item x="3883"/>
        <item x="3716"/>
        <item x="3688"/>
        <item x="3584"/>
        <item x="3916"/>
        <item x="3793"/>
        <item x="3685"/>
        <item x="3639"/>
        <item x="3927"/>
        <item x="3594"/>
        <item x="3689"/>
        <item x="3590"/>
        <item x="3738"/>
        <item x="3671"/>
        <item x="3941"/>
        <item x="3763"/>
        <item x="3891"/>
        <item x="3797"/>
        <item x="3654"/>
        <item x="3585"/>
        <item x="3712"/>
        <item x="3669"/>
        <item x="3922"/>
        <item x="3902"/>
        <item x="3894"/>
        <item x="3954"/>
        <item x="3573"/>
        <item x="3655"/>
        <item x="3631"/>
        <item x="3691"/>
        <item x="3711"/>
        <item x="3909"/>
        <item x="3799"/>
        <item x="3925"/>
        <item x="3744"/>
        <item x="3629"/>
        <item x="3663"/>
        <item x="3794"/>
        <item x="3914"/>
        <item x="3683"/>
        <item x="3649"/>
        <item x="3800"/>
        <item x="3600"/>
        <item x="3924"/>
        <item x="3958"/>
        <item x="3952"/>
        <item x="3695"/>
        <item x="3731"/>
        <item x="3641"/>
        <item x="3930"/>
        <item x="3587"/>
        <item x="3765"/>
        <item x="3692"/>
        <item x="3720"/>
        <item x="3895"/>
        <item x="3680"/>
        <item x="3884"/>
        <item x="3601"/>
        <item x="3788"/>
        <item x="3798"/>
        <item x="3750"/>
        <item x="3568"/>
        <item x="3608"/>
        <item x="3706"/>
        <item x="3591"/>
        <item x="3678"/>
        <item x="3575"/>
        <item x="3796"/>
        <item x="3959"/>
        <item x="3632"/>
        <item x="3715"/>
        <item x="3873"/>
        <item x="3704"/>
        <item x="3735"/>
        <item x="3684"/>
        <item x="3928"/>
        <item x="3944"/>
        <item x="3786"/>
        <item x="3666"/>
        <item x="3577"/>
        <item x="3892"/>
        <item x="3802"/>
        <item x="3973"/>
        <item x="3937"/>
        <item x="3755"/>
        <item x="3956"/>
        <item x="3623"/>
        <item x="3950"/>
        <item x="3724"/>
        <item x="3923"/>
        <item x="3698"/>
        <item x="3759"/>
        <item x="3673"/>
        <item x="3595"/>
        <item x="3790"/>
        <item x="3729"/>
        <item x="3679"/>
        <item x="3898"/>
        <item x="3806"/>
        <item x="4296"/>
        <item x="3931"/>
        <item x="3795"/>
        <item x="3804"/>
        <item x="3915"/>
        <item x="3693"/>
        <item x="3748"/>
        <item x="3714"/>
        <item x="3708"/>
        <item x="3926"/>
        <item x="3677"/>
        <item x="3737"/>
        <item x="4014"/>
        <item x="3921"/>
        <item x="3768"/>
        <item x="3697"/>
        <item x="3746"/>
        <item x="3957"/>
        <item x="3681"/>
        <item x="3732"/>
        <item x="3953"/>
        <item x="3665"/>
        <item x="3599"/>
        <item x="3934"/>
        <item x="4150"/>
        <item x="3734"/>
        <item x="3670"/>
        <item x="3943"/>
        <item x="3778"/>
        <item x="3727"/>
        <item x="3749"/>
        <item x="3955"/>
        <item x="3687"/>
        <item x="3905"/>
        <item x="3978"/>
        <item x="3709"/>
        <item x="3728"/>
        <item x="3910"/>
        <item x="3583"/>
        <item x="3949"/>
        <item x="4127"/>
        <item x="3676"/>
        <item x="3774"/>
        <item x="3713"/>
        <item x="3758"/>
        <item x="3951"/>
        <item x="3672"/>
        <item x="3942"/>
        <item x="3741"/>
        <item x="3725"/>
        <item x="3787"/>
        <item x="3940"/>
        <item x="3998"/>
        <item x="3743"/>
        <item x="3730"/>
        <item x="3770"/>
        <item x="3699"/>
        <item x="3753"/>
        <item x="3939"/>
        <item x="3702"/>
        <item x="3772"/>
        <item x="3690"/>
        <item x="3757"/>
        <item x="3785"/>
        <item x="3938"/>
        <item x="3918"/>
        <item x="3707"/>
        <item x="3739"/>
        <item x="3736"/>
        <item x="3767"/>
        <item x="3751"/>
        <item x="3948"/>
        <item x="3968"/>
        <item x="3992"/>
        <item x="4039"/>
        <item x="3719"/>
        <item x="3985"/>
        <item x="3947"/>
        <item x="3701"/>
        <item x="3721"/>
        <item x="3740"/>
        <item x="3969"/>
        <item x="3769"/>
        <item x="3935"/>
        <item x="3946"/>
        <item x="3747"/>
        <item x="3932"/>
        <item x="3989"/>
        <item x="3964"/>
        <item x="4029"/>
        <item x="3718"/>
        <item x="3990"/>
        <item x="3960"/>
        <item x="4005"/>
        <item x="4013"/>
        <item x="3703"/>
        <item x="3745"/>
        <item x="3974"/>
        <item x="3966"/>
        <item x="3936"/>
        <item x="4142"/>
        <item x="4006"/>
        <item x="3801"/>
        <item x="4033"/>
        <item x="4076"/>
        <item x="3779"/>
        <item x="3988"/>
        <item x="3756"/>
        <item x="3700"/>
        <item x="3980"/>
        <item x="3742"/>
        <item x="3781"/>
        <item x="3987"/>
        <item x="3780"/>
        <item x="3945"/>
        <item x="3977"/>
        <item x="4001"/>
        <item x="3907"/>
        <item x="4165"/>
        <item x="3970"/>
        <item x="4148"/>
        <item x="3979"/>
        <item x="4057"/>
        <item x="4126"/>
        <item x="3972"/>
        <item x="4040"/>
        <item x="3752"/>
        <item x="4151"/>
        <item x="3982"/>
        <item x="4016"/>
        <item x="3754"/>
        <item x="4182"/>
        <item x="3965"/>
        <item x="3986"/>
        <item x="3776"/>
        <item x="3967"/>
        <item x="3929"/>
        <item x="4157"/>
        <item x="4155"/>
        <item x="3976"/>
        <item x="4032"/>
        <item x="4060"/>
        <item x="3962"/>
        <item x="3783"/>
        <item x="4170"/>
        <item x="3777"/>
        <item x="4018"/>
        <item x="4114"/>
        <item x="4180"/>
        <item x="4026"/>
        <item x="4105"/>
        <item x="3961"/>
        <item x="4143"/>
        <item x="4002"/>
        <item x="4167"/>
        <item x="4074"/>
        <item x="4020"/>
        <item x="4042"/>
        <item x="4034"/>
        <item x="4010"/>
        <item x="4079"/>
        <item x="4099"/>
        <item x="3775"/>
        <item x="4133"/>
        <item x="4153"/>
        <item x="4038"/>
        <item x="4068"/>
        <item x="3782"/>
        <item x="3984"/>
        <item x="3963"/>
        <item x="4123"/>
        <item x="3991"/>
        <item x="4063"/>
        <item x="3994"/>
        <item x="4009"/>
        <item x="4072"/>
        <item x="3975"/>
        <item x="4163"/>
        <item x="4146"/>
        <item x="4131"/>
        <item x="4179"/>
        <item x="4071"/>
        <item x="4012"/>
        <item x="4019"/>
        <item x="3997"/>
        <item x="4049"/>
        <item x="4160"/>
        <item x="4085"/>
        <item x="4201"/>
        <item x="4177"/>
        <item x="4061"/>
        <item x="4083"/>
        <item x="4139"/>
        <item x="4008"/>
        <item x="4064"/>
        <item x="3760"/>
        <item x="4054"/>
        <item x="4043"/>
        <item x="4196"/>
        <item x="4003"/>
        <item x="4129"/>
        <item x="4103"/>
        <item x="4070"/>
        <item x="4169"/>
        <item x="4136"/>
        <item x="4154"/>
        <item x="4028"/>
        <item x="4269"/>
        <item x="4124"/>
        <item x="4175"/>
        <item x="4062"/>
        <item x="3784"/>
        <item x="4164"/>
        <item x="3995"/>
        <item x="4004"/>
        <item x="4156"/>
        <item x="4174"/>
        <item x="4113"/>
        <item x="4299"/>
        <item x="4205"/>
        <item x="4011"/>
        <item x="4041"/>
        <item x="4135"/>
        <item x="4183"/>
        <item x="4023"/>
        <item x="4181"/>
        <item x="4053"/>
        <item x="4207"/>
        <item x="4007"/>
        <item x="4017"/>
        <item x="4187"/>
        <item x="4000"/>
        <item x="4108"/>
        <item x="4216"/>
        <item x="4037"/>
        <item x="4186"/>
        <item x="4152"/>
        <item x="4066"/>
        <item x="4059"/>
        <item x="4116"/>
        <item x="4045"/>
        <item x="4015"/>
        <item x="4210"/>
        <item x="4027"/>
        <item x="4176"/>
        <item x="3983"/>
        <item x="4102"/>
        <item x="4031"/>
        <item x="4052"/>
        <item x="4166"/>
        <item x="4046"/>
        <item x="4107"/>
        <item x="3999"/>
        <item x="4022"/>
        <item x="4096"/>
        <item x="4185"/>
        <item x="4171"/>
        <item x="4051"/>
        <item x="4141"/>
        <item x="4091"/>
        <item x="4204"/>
        <item x="4030"/>
        <item x="4050"/>
        <item x="4092"/>
        <item x="4158"/>
        <item x="3996"/>
        <item x="4047"/>
        <item x="4195"/>
        <item x="4115"/>
        <item x="4055"/>
        <item x="4067"/>
        <item x="4168"/>
        <item x="4044"/>
        <item x="4035"/>
        <item x="4145"/>
        <item x="4137"/>
        <item x="4213"/>
        <item x="4178"/>
        <item x="4159"/>
        <item x="4089"/>
        <item x="3993"/>
        <item x="4058"/>
        <item x="4112"/>
        <item x="4069"/>
        <item x="4048"/>
        <item x="4025"/>
        <item x="4200"/>
        <item x="4149"/>
        <item x="4098"/>
        <item x="4056"/>
        <item x="4120"/>
        <item x="4109"/>
        <item x="4161"/>
        <item x="4192"/>
        <item x="4121"/>
        <item x="4288"/>
        <item x="4110"/>
        <item x="4073"/>
        <item x="4147"/>
        <item x="4134"/>
        <item x="4086"/>
        <item x="4173"/>
        <item x="4218"/>
        <item x="4117"/>
        <item x="4242"/>
        <item x="4132"/>
        <item x="4106"/>
        <item x="4189"/>
        <item x="4077"/>
        <item x="4065"/>
        <item x="4212"/>
        <item x="4260"/>
        <item x="4194"/>
        <item x="4331"/>
        <item x="4036"/>
        <item x="4095"/>
        <item x="4172"/>
        <item x="4130"/>
        <item x="4268"/>
        <item x="4197"/>
        <item x="4094"/>
        <item x="4298"/>
        <item x="4191"/>
        <item x="4162"/>
        <item x="4082"/>
        <item x="4144"/>
        <item x="4140"/>
        <item x="4193"/>
        <item x="4101"/>
        <item x="4080"/>
        <item x="4111"/>
        <item x="4353"/>
        <item x="4093"/>
        <item x="4275"/>
        <item x="4278"/>
        <item x="4266"/>
        <item x="4291"/>
        <item x="4075"/>
        <item x="4122"/>
        <item x="4295"/>
        <item x="4024"/>
        <item x="4090"/>
        <item x="4214"/>
        <item x="4217"/>
        <item x="4206"/>
        <item x="4128"/>
        <item x="4289"/>
        <item x="4199"/>
        <item x="4259"/>
        <item x="4097"/>
        <item x="4250"/>
        <item x="4287"/>
        <item x="4265"/>
        <item x="4088"/>
        <item x="4078"/>
        <item x="4294"/>
        <item x="4084"/>
        <item x="4215"/>
        <item x="4081"/>
        <item x="4222"/>
        <item x="4272"/>
        <item x="4239"/>
        <item x="4118"/>
        <item x="4324"/>
        <item x="4202"/>
        <item x="4211"/>
        <item x="4305"/>
        <item x="4188"/>
        <item x="4230"/>
        <item x="4284"/>
        <item x="4221"/>
        <item x="4257"/>
        <item x="4209"/>
        <item x="4292"/>
        <item x="4227"/>
        <item x="4320"/>
        <item x="4290"/>
        <item x="4244"/>
        <item x="4087"/>
        <item x="4225"/>
        <item x="4297"/>
        <item x="4190"/>
        <item x="4021"/>
        <item x="4125"/>
        <item x="4104"/>
        <item x="4241"/>
        <item x="4311"/>
        <item x="4270"/>
        <item x="4283"/>
        <item x="4252"/>
        <item x="4184"/>
        <item x="4138"/>
        <item x="4236"/>
        <item x="4293"/>
        <item x="4286"/>
        <item x="4263"/>
        <item x="4231"/>
        <item x="4273"/>
        <item x="4264"/>
        <item x="4223"/>
        <item x="4100"/>
        <item x="4234"/>
        <item x="4271"/>
        <item x="4312"/>
        <item x="4238"/>
        <item x="4276"/>
        <item x="4309"/>
        <item x="4321"/>
        <item x="4198"/>
        <item x="4281"/>
        <item x="4267"/>
        <item x="4308"/>
        <item x="4334"/>
        <item x="4304"/>
        <item x="4318"/>
        <item x="4246"/>
        <item x="4282"/>
        <item x="4352"/>
        <item x="4253"/>
        <item x="4219"/>
        <item x="4248"/>
        <item x="4235"/>
        <item x="4335"/>
        <item x="4306"/>
        <item x="4226"/>
        <item x="4237"/>
        <item x="4119"/>
        <item x="4332"/>
        <item x="4277"/>
        <item x="4256"/>
        <item x="4233"/>
        <item x="4313"/>
        <item x="4330"/>
        <item x="4208"/>
        <item x="4319"/>
        <item x="4255"/>
        <item x="4303"/>
        <item x="4350"/>
        <item x="4224"/>
        <item x="4262"/>
        <item x="4302"/>
        <item x="4240"/>
        <item x="4316"/>
        <item x="4232"/>
        <item x="4315"/>
        <item x="4251"/>
        <item x="4301"/>
        <item x="4338"/>
        <item x="4229"/>
        <item x="4285"/>
        <item x="4274"/>
        <item x="4459"/>
        <item x="4203"/>
        <item x="4322"/>
        <item x="4220"/>
        <item x="4361"/>
        <item x="4261"/>
        <item x="4333"/>
        <item x="4243"/>
        <item x="4415"/>
        <item x="4280"/>
        <item x="4363"/>
        <item x="4348"/>
        <item x="4310"/>
        <item x="4340"/>
        <item x="4327"/>
        <item x="4364"/>
        <item x="4337"/>
        <item x="4326"/>
        <item x="4314"/>
        <item x="4371"/>
        <item x="4365"/>
        <item x="4245"/>
        <item x="4317"/>
        <item x="4279"/>
        <item x="4394"/>
        <item x="4356"/>
        <item x="4399"/>
        <item x="4323"/>
        <item x="4300"/>
        <item x="4336"/>
        <item x="4228"/>
        <item x="4254"/>
        <item x="4355"/>
        <item x="4343"/>
        <item x="4481"/>
        <item x="4249"/>
        <item x="4408"/>
        <item x="4342"/>
        <item x="4388"/>
        <item x="4307"/>
        <item x="4258"/>
        <item x="4358"/>
        <item x="4382"/>
        <item x="4413"/>
        <item x="4375"/>
        <item x="4328"/>
        <item x="4493"/>
        <item x="4409"/>
        <item x="4449"/>
        <item x="4329"/>
        <item x="4341"/>
        <item x="4369"/>
        <item x="4247"/>
        <item x="4339"/>
        <item x="4344"/>
        <item x="4370"/>
        <item x="4373"/>
        <item x="4513"/>
        <item x="4346"/>
        <item x="4474"/>
        <item x="4403"/>
        <item x="4429"/>
        <item x="4389"/>
        <item x="4349"/>
        <item x="4496"/>
        <item x="4457"/>
        <item x="4359"/>
        <item x="4386"/>
        <item x="4514"/>
        <item x="4418"/>
        <item x="4347"/>
        <item x="4325"/>
        <item x="4385"/>
        <item x="4498"/>
        <item x="4402"/>
        <item x="4439"/>
        <item x="4417"/>
        <item x="4360"/>
        <item x="4410"/>
        <item x="4351"/>
        <item x="4397"/>
        <item x="4374"/>
        <item x="4462"/>
        <item x="4380"/>
        <item x="4437"/>
        <item x="4421"/>
        <item x="4379"/>
        <item x="4391"/>
        <item x="4472"/>
        <item x="4368"/>
        <item x="4407"/>
        <item x="4383"/>
        <item x="4521"/>
        <item x="4480"/>
        <item x="4487"/>
        <item x="4443"/>
        <item x="4376"/>
        <item x="4381"/>
        <item x="4464"/>
        <item x="4422"/>
        <item x="4387"/>
        <item x="4427"/>
        <item x="4393"/>
        <item x="4516"/>
        <item x="4345"/>
        <item x="4367"/>
        <item x="4392"/>
        <item x="4467"/>
        <item x="4372"/>
        <item x="4424"/>
        <item x="4404"/>
        <item x="4441"/>
        <item x="4501"/>
        <item x="4362"/>
        <item x="4414"/>
        <item x="4455"/>
        <item x="4431"/>
        <item x="4465"/>
        <item x="4416"/>
        <item x="4406"/>
        <item x="4456"/>
        <item x="4434"/>
        <item x="4366"/>
        <item x="4524"/>
        <item x="4411"/>
        <item x="4485"/>
        <item x="4482"/>
        <item x="4354"/>
        <item x="4419"/>
        <item x="4405"/>
        <item x="4384"/>
        <item x="4490"/>
        <item x="4505"/>
        <item x="4522"/>
        <item x="4357"/>
        <item x="4486"/>
        <item x="4452"/>
        <item x="4477"/>
        <item x="4506"/>
        <item x="4425"/>
        <item x="4537"/>
        <item x="4395"/>
        <item x="4489"/>
        <item x="4460"/>
        <item x="4400"/>
        <item x="4428"/>
        <item x="4454"/>
        <item x="4475"/>
        <item x="4430"/>
        <item x="4508"/>
        <item x="4390"/>
        <item x="4511"/>
        <item x="4545"/>
        <item x="4448"/>
        <item x="4398"/>
        <item x="4433"/>
        <item x="4440"/>
        <item x="4378"/>
        <item x="4512"/>
        <item x="4432"/>
        <item x="4528"/>
        <item x="4495"/>
        <item x="4458"/>
        <item x="4396"/>
        <item x="4426"/>
        <item x="4564"/>
        <item x="4510"/>
        <item x="4442"/>
        <item x="4450"/>
        <item x="4473"/>
        <item x="4540"/>
        <item x="4471"/>
        <item x="4604"/>
        <item x="4582"/>
        <item x="4536"/>
        <item x="4444"/>
        <item x="4509"/>
        <item x="4466"/>
        <item x="4492"/>
        <item x="4453"/>
        <item x="4523"/>
        <item x="4553"/>
        <item x="4499"/>
        <item x="4483"/>
        <item x="4435"/>
        <item x="4576"/>
        <item x="4534"/>
        <item x="4401"/>
        <item x="4526"/>
        <item x="4377"/>
        <item x="4479"/>
        <item x="4461"/>
        <item x="4517"/>
        <item x="4451"/>
        <item x="4436"/>
        <item x="4447"/>
        <item x="4543"/>
        <item x="4491"/>
        <item x="4532"/>
        <item x="4546"/>
        <item x="4484"/>
        <item x="4420"/>
        <item x="4504"/>
        <item x="4525"/>
        <item x="4560"/>
        <item x="4539"/>
        <item x="4520"/>
        <item x="4577"/>
        <item x="4535"/>
        <item x="4640"/>
        <item x="4446"/>
        <item x="4423"/>
        <item x="4476"/>
        <item x="4568"/>
        <item x="4554"/>
        <item x="4531"/>
        <item x="4542"/>
        <item x="4518"/>
        <item x="4438"/>
        <item x="4533"/>
        <item x="4519"/>
        <item x="4549"/>
        <item x="4497"/>
        <item x="4573"/>
        <item x="4503"/>
        <item x="4559"/>
        <item x="4470"/>
        <item x="4494"/>
        <item x="4556"/>
        <item x="4527"/>
        <item x="4600"/>
        <item x="4632"/>
        <item x="4507"/>
        <item x="4445"/>
        <item x="4463"/>
        <item x="4622"/>
        <item x="4478"/>
        <item x="4500"/>
        <item x="4529"/>
        <item x="4515"/>
        <item x="4565"/>
        <item x="4488"/>
        <item x="4595"/>
        <item x="4558"/>
        <item x="4642"/>
        <item x="4468"/>
        <item x="4412"/>
        <item x="4538"/>
        <item x="4583"/>
        <item x="4578"/>
        <item x="4550"/>
        <item x="4502"/>
        <item x="4541"/>
        <item x="4572"/>
        <item x="4633"/>
        <item x="4469"/>
        <item x="4598"/>
        <item x="4641"/>
        <item x="4561"/>
        <item x="4547"/>
        <item x="4605"/>
        <item x="4590"/>
        <item x="4655"/>
        <item x="4597"/>
        <item x="4551"/>
        <item x="4621"/>
        <item x="4571"/>
        <item x="4562"/>
        <item x="4639"/>
        <item x="4786"/>
        <item x="4603"/>
        <item x="4566"/>
        <item x="4544"/>
        <item x="4607"/>
        <item x="4627"/>
        <item x="4552"/>
        <item x="4591"/>
        <item x="4584"/>
        <item x="4555"/>
        <item x="4563"/>
        <item x="4795"/>
        <item x="4579"/>
        <item x="4586"/>
        <item x="4644"/>
        <item x="4570"/>
        <item x="4609"/>
        <item x="4585"/>
        <item x="4635"/>
        <item x="4569"/>
        <item x="4617"/>
        <item x="4567"/>
        <item x="4548"/>
        <item x="4611"/>
        <item x="4589"/>
        <item x="4646"/>
        <item x="4557"/>
        <item x="4673"/>
        <item x="4594"/>
        <item x="4630"/>
        <item x="4596"/>
        <item x="4580"/>
        <item x="4853"/>
        <item x="4620"/>
        <item x="4610"/>
        <item x="4581"/>
        <item x="4702"/>
        <item x="4685"/>
        <item x="4614"/>
        <item x="4788"/>
        <item x="4654"/>
        <item x="4530"/>
        <item x="4575"/>
        <item x="4668"/>
        <item x="4613"/>
        <item x="4687"/>
        <item x="4631"/>
        <item x="4806"/>
        <item x="4593"/>
        <item x="4774"/>
        <item x="4666"/>
        <item x="4787"/>
        <item x="4762"/>
        <item x="4643"/>
        <item x="4663"/>
        <item x="4624"/>
        <item x="4645"/>
        <item x="4574"/>
        <item x="4669"/>
        <item x="4602"/>
        <item x="4682"/>
        <item x="4649"/>
        <item x="4608"/>
        <item x="4754"/>
        <item x="4697"/>
        <item x="4606"/>
        <item x="4651"/>
        <item x="4777"/>
        <item x="4588"/>
        <item x="4744"/>
        <item x="4656"/>
        <item x="4800"/>
        <item x="4648"/>
        <item x="4592"/>
        <item x="4681"/>
        <item x="4623"/>
        <item x="4789"/>
        <item x="4616"/>
        <item x="4671"/>
        <item x="4612"/>
        <item x="4653"/>
        <item x="4748"/>
        <item x="4587"/>
        <item x="4677"/>
        <item x="4824"/>
        <item x="4706"/>
        <item x="4689"/>
        <item x="4674"/>
        <item x="4634"/>
        <item x="4783"/>
        <item x="4801"/>
        <item x="4769"/>
        <item x="4626"/>
        <item x="4694"/>
        <item x="4745"/>
        <item x="4679"/>
        <item x="4797"/>
        <item x="4601"/>
        <item x="4778"/>
        <item x="4730"/>
        <item x="4625"/>
        <item x="4707"/>
        <item x="4647"/>
        <item x="4676"/>
        <item x="4835"/>
        <item x="4790"/>
        <item x="4861"/>
        <item x="4763"/>
        <item x="4615"/>
        <item x="4750"/>
        <item x="4703"/>
        <item x="4820"/>
        <item x="4692"/>
        <item x="4742"/>
        <item x="4628"/>
        <item x="4712"/>
        <item x="4855"/>
        <item x="4658"/>
        <item x="4721"/>
        <item x="4869"/>
        <item x="4708"/>
        <item x="4782"/>
        <item x="4716"/>
        <item x="4757"/>
        <item x="4665"/>
        <item x="4599"/>
        <item x="4811"/>
        <item x="4867"/>
        <item x="4618"/>
        <item x="4675"/>
        <item x="4738"/>
        <item x="4840"/>
        <item x="4764"/>
        <item x="4858"/>
        <item x="4740"/>
        <item x="4773"/>
        <item x="4638"/>
        <item x="4841"/>
        <item x="4805"/>
        <item x="4877"/>
        <item x="4825"/>
        <item x="4659"/>
        <item x="4784"/>
        <item x="4736"/>
        <item x="4780"/>
        <item x="4751"/>
        <item x="4722"/>
        <item x="4660"/>
        <item x="4826"/>
        <item x="4792"/>
        <item x="4715"/>
        <item x="4752"/>
        <item x="4843"/>
        <item x="4767"/>
        <item x="4727"/>
        <item x="4696"/>
        <item x="4670"/>
        <item x="4770"/>
        <item x="4766"/>
        <item x="4802"/>
        <item x="4830"/>
        <item x="4710"/>
        <item x="4652"/>
        <item x="4746"/>
        <item x="4807"/>
        <item x="4662"/>
        <item x="4698"/>
        <item x="4731"/>
        <item x="4868"/>
        <item x="4794"/>
        <item x="4719"/>
        <item x="4776"/>
        <item x="4815"/>
        <item x="4804"/>
        <item x="4683"/>
        <item x="4725"/>
        <item x="4684"/>
        <item x="4775"/>
        <item x="4749"/>
        <item x="4821"/>
        <item x="4629"/>
        <item x="4799"/>
        <item x="4743"/>
        <item x="4699"/>
        <item x="4852"/>
        <item x="4672"/>
        <item x="4637"/>
        <item x="4686"/>
        <item x="4714"/>
        <item x="4817"/>
        <item x="4619"/>
        <item x="4737"/>
        <item x="4832"/>
        <item x="4921"/>
        <item x="4793"/>
        <item x="4828"/>
        <item x="4739"/>
        <item x="4713"/>
        <item x="4765"/>
        <item x="4701"/>
        <item x="4863"/>
        <item x="4886"/>
        <item x="4728"/>
        <item x="4664"/>
        <item x="4720"/>
        <item x="4735"/>
        <item x="4864"/>
        <item x="4899"/>
        <item x="4709"/>
        <item x="4814"/>
        <item x="4798"/>
        <item x="4636"/>
        <item x="4819"/>
        <item x="4695"/>
        <item x="4881"/>
        <item x="4844"/>
        <item x="4785"/>
        <item x="4758"/>
        <item x="4781"/>
        <item x="4650"/>
        <item x="4837"/>
        <item x="4741"/>
        <item x="4818"/>
        <item x="4860"/>
        <item x="4882"/>
        <item x="4755"/>
        <item x="4772"/>
        <item x="4661"/>
        <item x="4856"/>
        <item x="4711"/>
        <item x="4879"/>
        <item x="4753"/>
        <item x="4908"/>
        <item x="4691"/>
        <item x="4833"/>
        <item x="4822"/>
        <item x="4756"/>
        <item x="4850"/>
        <item x="4884"/>
        <item x="4924"/>
        <item x="4678"/>
        <item x="4836"/>
        <item x="4729"/>
        <item x="4704"/>
        <item x="4796"/>
        <item x="4813"/>
        <item x="4732"/>
        <item x="4718"/>
        <item x="4791"/>
        <item x="4845"/>
        <item x="4880"/>
        <item x="4700"/>
        <item x="4747"/>
        <item x="4657"/>
        <item x="4768"/>
        <item x="4688"/>
        <item x="4803"/>
        <item x="4839"/>
        <item x="4847"/>
        <item x="4866"/>
        <item x="4874"/>
        <item x="4812"/>
        <item x="4734"/>
        <item x="4680"/>
        <item x="4862"/>
        <item x="4875"/>
        <item x="4693"/>
        <item x="4898"/>
        <item x="4760"/>
        <item x="4829"/>
        <item x="4848"/>
        <item x="4975"/>
        <item x="4667"/>
        <item x="5094"/>
        <item x="4865"/>
        <item x="4808"/>
        <item x="4834"/>
        <item x="4724"/>
        <item x="4919"/>
        <item x="4779"/>
        <item x="4870"/>
        <item x="4916"/>
        <item x="4957"/>
        <item x="4905"/>
        <item x="4809"/>
        <item x="4849"/>
        <item x="4871"/>
        <item x="5282"/>
        <item x="4831"/>
        <item x="4859"/>
        <item x="5002"/>
        <item x="4872"/>
        <item x="4892"/>
        <item x="4842"/>
        <item x="4857"/>
        <item x="4907"/>
        <item x="5042"/>
        <item x="4890"/>
        <item x="4854"/>
        <item x="4915"/>
        <item x="4900"/>
        <item x="4717"/>
        <item x="4928"/>
        <item x="4851"/>
        <item x="4961"/>
        <item x="4823"/>
        <item x="4985"/>
        <item x="4979"/>
        <item x="4949"/>
        <item x="4723"/>
        <item x="4761"/>
        <item x="4945"/>
        <item x="4918"/>
        <item x="4936"/>
        <item x="4838"/>
        <item x="4726"/>
        <item x="4759"/>
        <item x="4878"/>
        <item x="4705"/>
        <item x="4690"/>
        <item x="5127"/>
        <item x="4944"/>
        <item x="4965"/>
        <item x="4883"/>
        <item x="4996"/>
        <item x="4993"/>
        <item x="4771"/>
        <item x="4903"/>
        <item x="4889"/>
        <item x="4885"/>
        <item x="4733"/>
        <item x="4920"/>
        <item x="5098"/>
        <item x="4827"/>
        <item x="4955"/>
        <item x="4816"/>
        <item x="4914"/>
        <item x="4891"/>
        <item x="4810"/>
        <item x="4967"/>
        <item x="4956"/>
        <item x="4995"/>
        <item x="4913"/>
        <item x="4929"/>
        <item x="4938"/>
        <item x="4876"/>
        <item x="5095"/>
        <item x="5014"/>
        <item x="5004"/>
        <item x="4906"/>
        <item x="4994"/>
        <item x="5090"/>
        <item x="4873"/>
        <item x="4846"/>
        <item x="5135"/>
        <item x="4895"/>
        <item x="4968"/>
        <item x="4912"/>
        <item x="4904"/>
        <item x="4943"/>
        <item x="4897"/>
        <item x="4970"/>
        <item x="5007"/>
        <item x="4959"/>
        <item x="5039"/>
        <item x="4930"/>
        <item x="4986"/>
        <item x="4909"/>
        <item x="4926"/>
        <item x="5283"/>
        <item x="4963"/>
        <item x="5026"/>
        <item x="4950"/>
        <item x="4933"/>
        <item x="4893"/>
        <item x="4969"/>
        <item x="5010"/>
        <item x="5060"/>
        <item x="4947"/>
        <item x="5040"/>
        <item x="4901"/>
        <item x="4980"/>
        <item x="5286"/>
        <item x="5025"/>
        <item x="4952"/>
        <item x="4939"/>
        <item x="4991"/>
        <item x="5102"/>
        <item x="4974"/>
        <item x="5006"/>
        <item x="5016"/>
        <item x="4940"/>
        <item x="4888"/>
        <item x="4902"/>
        <item x="4984"/>
        <item x="5032"/>
        <item x="5001"/>
        <item x="4887"/>
        <item x="5013"/>
        <item x="4910"/>
        <item x="4992"/>
        <item x="4972"/>
        <item x="5078"/>
        <item x="4932"/>
        <item x="5024"/>
        <item x="5092"/>
        <item x="4937"/>
        <item x="4894"/>
        <item x="4927"/>
        <item x="5003"/>
        <item x="4923"/>
        <item x="4896"/>
        <item x="5063"/>
        <item x="4997"/>
        <item x="5015"/>
        <item x="5048"/>
        <item x="4925"/>
        <item x="5166"/>
        <item x="4983"/>
        <item x="4953"/>
        <item x="4941"/>
        <item x="5045"/>
        <item x="5362"/>
        <item x="5053"/>
        <item x="4935"/>
        <item x="5037"/>
        <item x="4978"/>
        <item x="5116"/>
        <item x="5051"/>
        <item x="4964"/>
        <item x="4999"/>
        <item x="5108"/>
        <item x="5046"/>
        <item x="5345"/>
        <item x="5056"/>
        <item x="4958"/>
        <item x="5291"/>
        <item x="5336"/>
        <item x="4973"/>
        <item x="4922"/>
        <item x="4966"/>
        <item x="4942"/>
        <item x="5018"/>
        <item x="5023"/>
        <item x="5290"/>
        <item x="4971"/>
        <item x="5076"/>
        <item x="5021"/>
        <item x="5101"/>
        <item x="4962"/>
        <item x="5079"/>
        <item x="5064"/>
        <item x="5017"/>
        <item x="5352"/>
        <item x="5154"/>
        <item x="4954"/>
        <item x="5038"/>
        <item x="4946"/>
        <item x="5061"/>
        <item x="5066"/>
        <item x="5011"/>
        <item x="5117"/>
        <item x="5310"/>
        <item x="5088"/>
        <item x="5367"/>
        <item x="4990"/>
        <item x="5000"/>
        <item x="5009"/>
        <item x="5059"/>
        <item x="5285"/>
        <item x="4917"/>
        <item x="5022"/>
        <item x="4982"/>
        <item x="5113"/>
        <item x="5141"/>
        <item x="4988"/>
        <item x="4931"/>
        <item x="4998"/>
        <item x="5351"/>
        <item x="5043"/>
        <item x="5062"/>
        <item x="5170"/>
        <item x="4948"/>
        <item x="5136"/>
        <item x="5125"/>
        <item x="5033"/>
        <item x="5229"/>
        <item x="5020"/>
        <item x="5068"/>
        <item x="5111"/>
        <item x="5329"/>
        <item x="5284"/>
        <item x="5008"/>
        <item x="5132"/>
        <item x="5030"/>
        <item x="5359"/>
        <item x="5259"/>
        <item x="5104"/>
        <item x="4934"/>
        <item x="5121"/>
        <item x="5091"/>
        <item x="5138"/>
        <item x="5044"/>
        <item x="5019"/>
        <item x="5058"/>
        <item x="5377"/>
        <item x="5361"/>
        <item x="5238"/>
        <item x="5157"/>
        <item x="5082"/>
        <item x="5347"/>
        <item x="5185"/>
        <item x="5093"/>
        <item x="5012"/>
        <item x="5057"/>
        <item x="5270"/>
        <item x="5103"/>
        <item x="4911"/>
        <item x="5084"/>
        <item x="5119"/>
        <item x="5034"/>
        <item x="5054"/>
        <item x="5294"/>
        <item x="5047"/>
        <item x="5067"/>
        <item x="5368"/>
        <item x="4987"/>
        <item x="5096"/>
        <item x="5191"/>
        <item x="5036"/>
        <item x="5299"/>
        <item x="5331"/>
        <item x="5287"/>
        <item x="5158"/>
        <item x="5080"/>
        <item x="5272"/>
        <item x="5118"/>
        <item x="5342"/>
        <item x="5069"/>
        <item x="5144"/>
        <item x="4989"/>
        <item x="5077"/>
        <item x="5149"/>
        <item x="5360"/>
        <item x="5114"/>
        <item x="5099"/>
        <item x="4951"/>
        <item x="5344"/>
        <item x="5106"/>
        <item x="5071"/>
        <item x="5133"/>
        <item x="5086"/>
        <item x="5332"/>
        <item x="5089"/>
        <item x="5333"/>
        <item x="4977"/>
        <item x="5126"/>
        <item x="5188"/>
        <item x="5288"/>
        <item x="5122"/>
        <item x="5330"/>
        <item x="5031"/>
        <item x="5105"/>
        <item x="5072"/>
        <item x="5029"/>
        <item x="5372"/>
        <item x="5292"/>
        <item x="4981"/>
        <item x="5328"/>
        <item x="5365"/>
        <item x="5107"/>
        <item x="5216"/>
        <item x="5321"/>
        <item x="5178"/>
        <item x="5085"/>
        <item x="5005"/>
        <item x="5373"/>
        <item x="5112"/>
        <item x="5366"/>
        <item x="5070"/>
        <item x="5223"/>
        <item x="4960"/>
        <item x="5146"/>
        <item x="5055"/>
        <item x="5120"/>
        <item x="5236"/>
        <item x="5247"/>
        <item x="5364"/>
        <item x="5302"/>
        <item x="5137"/>
        <item x="5274"/>
        <item x="5160"/>
        <item x="5087"/>
        <item x="5041"/>
        <item x="5324"/>
        <item x="5348"/>
        <item x="5109"/>
        <item x="5167"/>
        <item x="5209"/>
        <item x="5307"/>
        <item x="5242"/>
        <item x="5341"/>
        <item x="5129"/>
        <item x="5265"/>
        <item x="5145"/>
        <item x="5267"/>
        <item x="5074"/>
        <item x="5320"/>
        <item x="5343"/>
        <item x="5081"/>
        <item x="5325"/>
        <item x="5159"/>
        <item x="5150"/>
        <item x="5374"/>
        <item x="5278"/>
        <item x="5124"/>
        <item x="5289"/>
        <item x="5027"/>
        <item x="5264"/>
        <item x="5049"/>
        <item x="5356"/>
        <item x="5319"/>
        <item x="5128"/>
        <item x="5142"/>
        <item x="5237"/>
        <item x="5065"/>
        <item x="5147"/>
        <item x="5260"/>
        <item x="5370"/>
        <item x="5300"/>
        <item x="5100"/>
        <item x="5271"/>
        <item x="5130"/>
        <item x="5309"/>
        <item x="5281"/>
        <item x="5097"/>
        <item x="5235"/>
        <item x="5248"/>
        <item x="5371"/>
        <item x="4976"/>
        <item x="5192"/>
        <item x="5181"/>
        <item x="5143"/>
        <item x="5226"/>
        <item x="5073"/>
        <item x="5110"/>
        <item x="5350"/>
        <item x="5308"/>
        <item x="5326"/>
        <item x="5279"/>
        <item x="5177"/>
        <item x="5293"/>
        <item x="5369"/>
        <item x="5327"/>
        <item x="5256"/>
        <item x="5139"/>
        <item x="5123"/>
        <item x="5363"/>
        <item x="5050"/>
        <item x="5186"/>
        <item x="5315"/>
        <item x="5224"/>
        <item x="5339"/>
        <item x="5273"/>
        <item x="5316"/>
        <item x="5201"/>
        <item x="5165"/>
        <item x="5215"/>
        <item x="5075"/>
        <item x="5250"/>
        <item x="5233"/>
        <item x="5254"/>
        <item x="5337"/>
        <item x="5028"/>
        <item x="5153"/>
        <item x="5176"/>
        <item x="5276"/>
        <item x="5184"/>
        <item x="5298"/>
        <item x="5295"/>
        <item x="5134"/>
        <item x="5349"/>
        <item x="5252"/>
        <item x="5151"/>
        <item x="5317"/>
        <item x="5115"/>
        <item x="5357"/>
        <item x="5306"/>
        <item x="5268"/>
        <item x="5168"/>
        <item x="5189"/>
        <item x="5204"/>
        <item x="5052"/>
        <item x="5225"/>
        <item x="5155"/>
        <item x="5303"/>
        <item x="5035"/>
        <item x="5161"/>
        <item x="5140"/>
        <item x="5355"/>
        <item x="5156"/>
        <item x="5323"/>
        <item x="5246"/>
        <item x="5148"/>
        <item x="5251"/>
        <item x="5262"/>
        <item x="5231"/>
        <item x="5175"/>
        <item x="5312"/>
        <item x="5297"/>
        <item x="5152"/>
        <item x="5335"/>
        <item x="5358"/>
        <item x="5083"/>
        <item x="5245"/>
        <item x="5183"/>
        <item x="5171"/>
        <item x="5263"/>
        <item x="5318"/>
        <item x="5212"/>
        <item x="5353"/>
        <item x="5207"/>
        <item x="5228"/>
        <item x="5334"/>
        <item x="5197"/>
        <item x="5162"/>
        <item x="5221"/>
        <item x="5173"/>
        <item x="5249"/>
        <item x="5266"/>
        <item x="5131"/>
        <item x="5275"/>
        <item x="5211"/>
        <item x="5376"/>
        <item x="5202"/>
        <item x="5194"/>
        <item x="5220"/>
        <item x="5277"/>
        <item x="5217"/>
        <item x="5203"/>
        <item x="5305"/>
        <item x="5179"/>
        <item x="5338"/>
        <item x="5346"/>
        <item x="5241"/>
        <item x="5214"/>
        <item x="5193"/>
        <item x="5169"/>
        <item x="5301"/>
        <item x="5190"/>
        <item x="5261"/>
        <item x="5232"/>
        <item x="5198"/>
        <item x="5187"/>
        <item x="5314"/>
        <item x="5375"/>
        <item x="5163"/>
        <item x="5354"/>
        <item x="5258"/>
        <item x="5219"/>
        <item x="5182"/>
        <item x="5195"/>
        <item x="5257"/>
        <item x="5227"/>
        <item x="5174"/>
        <item x="5164"/>
        <item x="5255"/>
        <item x="5243"/>
        <item x="5340"/>
        <item x="5199"/>
        <item x="5206"/>
        <item x="5180"/>
        <item x="5296"/>
        <item x="5253"/>
        <item x="5280"/>
        <item x="5311"/>
        <item x="5244"/>
        <item x="5269"/>
        <item x="5208"/>
        <item x="5313"/>
        <item x="5218"/>
        <item x="5240"/>
        <item x="5172"/>
        <item x="5322"/>
        <item x="5213"/>
        <item x="5200"/>
        <item x="5222"/>
        <item x="5239"/>
        <item x="5304"/>
        <item x="5234"/>
        <item x="5210"/>
        <item x="5230"/>
        <item x="5196"/>
        <item x="5205"/>
        <item x="5378"/>
        <item t="default"/>
      </items>
    </pivotField>
    <pivotField axis="axisRow" showAll="0">
      <items count="15">
        <item h="1"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1"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</pivotFields>
  <rowFields count="2">
    <field x="4"/>
    <field x="2"/>
  </rowFields>
  <rowItems count="124"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8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Hash Rate" fld="1" subtotal="average" baseField="4" baseItem="18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A9109B-2012-4DA0-86D9-A6939B0C079D}" name="PivotTable1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E2:F126" firstHeaderRow="1" firstDataRow="1" firstDataCol="1"/>
  <pivotFields count="6">
    <pivotField numFmtId="22" showAll="0">
      <items count="57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t="default"/>
      </items>
    </pivotField>
    <pivotField dataField="1" showAll="0"/>
    <pivotField showAll="0">
      <items count="51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953"/>
        <item x="954"/>
        <item x="4895"/>
        <item x="3556"/>
        <item x="5083"/>
        <item x="2702"/>
        <item x="4896"/>
        <item x="2649"/>
        <item x="4897"/>
        <item x="4898"/>
        <item x="5082"/>
        <item x="4899"/>
        <item x="2650"/>
        <item x="3557"/>
        <item x="4900"/>
        <item x="2293"/>
        <item x="4901"/>
        <item x="4902"/>
        <item x="5081"/>
        <item x="2701"/>
        <item x="2651"/>
        <item x="4903"/>
        <item x="4904"/>
        <item x="3558"/>
        <item x="4905"/>
        <item x="2652"/>
        <item x="5080"/>
        <item x="4906"/>
        <item x="2700"/>
        <item x="4907"/>
        <item x="2294"/>
        <item x="2653"/>
        <item x="4908"/>
        <item x="955"/>
        <item x="956"/>
        <item x="3559"/>
        <item x="5079"/>
        <item x="4909"/>
        <item x="4910"/>
        <item x="2654"/>
        <item x="2699"/>
        <item x="4911"/>
        <item x="4912"/>
        <item x="5078"/>
        <item x="4913"/>
        <item x="2655"/>
        <item x="3560"/>
        <item x="4914"/>
        <item x="2698"/>
        <item x="4915"/>
        <item x="2656"/>
        <item x="4916"/>
        <item x="2295"/>
        <item x="5077"/>
        <item x="4917"/>
        <item x="2657"/>
        <item x="2697"/>
        <item x="4918"/>
        <item x="3561"/>
        <item x="4919"/>
        <item x="2658"/>
        <item x="5076"/>
        <item x="4920"/>
        <item x="2696"/>
        <item x="4921"/>
        <item x="2659"/>
        <item x="4922"/>
        <item x="957"/>
        <item x="958"/>
        <item x="2296"/>
        <item x="2695"/>
        <item x="2660"/>
        <item x="5075"/>
        <item x="4923"/>
        <item x="3562"/>
        <item x="4924"/>
        <item x="2661"/>
        <item x="2694"/>
        <item x="4925"/>
        <item x="5074"/>
        <item x="2662"/>
        <item x="3563"/>
        <item x="2693"/>
        <item x="4926"/>
        <item x="2663"/>
        <item x="5073"/>
        <item x="2297"/>
        <item x="2664"/>
        <item x="4927"/>
        <item x="2692"/>
        <item x="2665"/>
        <item x="3564"/>
        <item x="2691"/>
        <item x="2666"/>
        <item x="4928"/>
        <item x="5072"/>
        <item x="2667"/>
        <item x="2690"/>
        <item x="2668"/>
        <item x="2669"/>
        <item x="2670"/>
        <item x="4929"/>
        <item x="2671"/>
        <item x="2674"/>
        <item x="2673"/>
        <item x="2672"/>
        <item x="2675"/>
        <item x="2689"/>
        <item x="2676"/>
        <item x="5071"/>
        <item x="959"/>
        <item x="960"/>
        <item x="2688"/>
        <item x="3565"/>
        <item x="4930"/>
        <item x="2677"/>
        <item x="2687"/>
        <item x="2298"/>
        <item x="2678"/>
        <item x="2686"/>
        <item x="2685"/>
        <item x="2679"/>
        <item x="4931"/>
        <item x="2684"/>
        <item x="2683"/>
        <item x="2682"/>
        <item x="2680"/>
        <item x="2681"/>
        <item x="5070"/>
        <item x="4932"/>
        <item x="3566"/>
        <item x="4933"/>
        <item x="5069"/>
        <item x="4934"/>
        <item x="4935"/>
        <item x="5068"/>
        <item x="2299"/>
        <item x="3567"/>
        <item x="4936"/>
        <item x="5067"/>
        <item x="4937"/>
        <item x="961"/>
        <item x="962"/>
        <item x="4938"/>
        <item x="5066"/>
        <item x="4939"/>
        <item x="3568"/>
        <item x="2300"/>
        <item x="5065"/>
        <item x="4940"/>
        <item x="5064"/>
        <item x="4941"/>
        <item x="3569"/>
        <item x="4942"/>
        <item x="5063"/>
        <item x="5062"/>
        <item x="4943"/>
        <item x="2301"/>
        <item x="5061"/>
        <item x="4944"/>
        <item x="963"/>
        <item x="964"/>
        <item x="965"/>
        <item x="3570"/>
        <item x="5060"/>
        <item x="4945"/>
        <item x="5059"/>
        <item x="5058"/>
        <item x="4946"/>
        <item x="5057"/>
        <item x="3571"/>
        <item x="5056"/>
        <item x="4947"/>
        <item x="2302"/>
        <item x="5055"/>
        <item x="5054"/>
        <item x="4948"/>
        <item x="5053"/>
        <item x="3572"/>
        <item x="5052"/>
        <item x="5051"/>
        <item x="4949"/>
        <item x="5050"/>
        <item x="966"/>
        <item x="967"/>
        <item x="5049"/>
        <item x="5048"/>
        <item x="4950"/>
        <item x="5047"/>
        <item x="5046"/>
        <item x="3573"/>
        <item x="2303"/>
        <item x="5045"/>
        <item x="4951"/>
        <item x="5044"/>
        <item x="5043"/>
        <item x="4952"/>
        <item x="5042"/>
        <item x="5041"/>
        <item x="4953"/>
        <item x="5040"/>
        <item x="3574"/>
        <item x="5039"/>
        <item x="4954"/>
        <item x="5038"/>
        <item x="5037"/>
        <item x="4955"/>
        <item x="5036"/>
        <item x="968"/>
        <item x="969"/>
        <item x="2304"/>
        <item x="5035"/>
        <item x="4956"/>
        <item x="5034"/>
        <item x="3575"/>
        <item x="5033"/>
        <item x="4957"/>
        <item x="5032"/>
        <item x="4958"/>
        <item x="5031"/>
        <item x="4959"/>
        <item x="5030"/>
        <item x="3576"/>
        <item x="4960"/>
        <item x="5029"/>
        <item x="5028"/>
        <item x="4961"/>
        <item x="5027"/>
        <item x="2305"/>
        <item x="4962"/>
        <item x="5026"/>
        <item x="3577"/>
        <item x="5025"/>
        <item x="4963"/>
        <item x="970"/>
        <item x="971"/>
        <item x="972"/>
        <item x="5024"/>
        <item x="4964"/>
        <item x="5023"/>
        <item x="5022"/>
        <item x="4965"/>
        <item x="3578"/>
        <item x="5021"/>
        <item x="5020"/>
        <item x="4966"/>
        <item x="5019"/>
        <item x="4967"/>
        <item x="5018"/>
        <item x="5017"/>
        <item x="4968"/>
        <item x="3579"/>
        <item x="5016"/>
        <item x="2306"/>
        <item x="5015"/>
        <item x="4969"/>
        <item x="5014"/>
        <item x="973"/>
        <item x="974"/>
        <item x="5013"/>
        <item x="4970"/>
        <item x="5012"/>
        <item x="3580"/>
        <item x="5011"/>
        <item x="4971"/>
        <item x="5010"/>
        <item x="4972"/>
        <item x="5009"/>
        <item x="4973"/>
        <item x="5008"/>
        <item x="5007"/>
        <item x="4974"/>
        <item x="5006"/>
        <item x="2307"/>
        <item x="5005"/>
        <item x="3581"/>
        <item x="4975"/>
        <item x="5004"/>
        <item x="5003"/>
        <item x="4976"/>
        <item x="5002"/>
        <item x="4977"/>
        <item x="5001"/>
        <item x="5000"/>
        <item x="4978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975"/>
        <item x="976"/>
        <item x="977"/>
        <item x="4999"/>
        <item x="4979"/>
        <item x="4998"/>
        <item x="3582"/>
        <item x="4980"/>
        <item x="4997"/>
        <item x="4981"/>
        <item x="4996"/>
        <item x="4982"/>
        <item x="2308"/>
        <item x="4995"/>
        <item x="4983"/>
        <item x="4994"/>
        <item x="4984"/>
        <item x="4993"/>
        <item x="4985"/>
        <item x="4992"/>
        <item x="4991"/>
        <item x="4986"/>
        <item x="4987"/>
        <item x="4990"/>
        <item x="4988"/>
        <item x="4989"/>
        <item x="3583"/>
        <item x="978"/>
        <item x="979"/>
        <item x="980"/>
        <item x="2309"/>
        <item x="3584"/>
        <item x="3585"/>
        <item x="2310"/>
        <item x="3586"/>
        <item x="981"/>
        <item x="982"/>
        <item x="983"/>
        <item x="3587"/>
        <item x="2311"/>
        <item x="3588"/>
        <item x="984"/>
        <item x="985"/>
        <item x="986"/>
        <item x="3589"/>
        <item x="2312"/>
        <item x="3590"/>
        <item x="987"/>
        <item x="988"/>
        <item x="989"/>
        <item x="990"/>
        <item x="3591"/>
        <item x="2313"/>
        <item x="3592"/>
        <item x="991"/>
        <item x="992"/>
        <item x="993"/>
        <item x="2314"/>
        <item x="3593"/>
        <item x="3594"/>
        <item x="2315"/>
        <item x="994"/>
        <item x="995"/>
        <item x="996"/>
        <item x="999"/>
        <item x="998"/>
        <item x="1000"/>
        <item x="997"/>
        <item x="3595"/>
        <item x="3596"/>
        <item x="2316"/>
        <item x="3597"/>
        <item x="1001"/>
        <item x="1002"/>
        <item x="3598"/>
        <item x="2317"/>
        <item x="3599"/>
        <item x="1003"/>
        <item x="1004"/>
        <item x="3600"/>
        <item x="2318"/>
        <item x="3601"/>
        <item x="1005"/>
        <item x="3602"/>
        <item x="2319"/>
        <item x="3603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1006"/>
        <item x="1007"/>
        <item x="3604"/>
        <item x="2320"/>
        <item x="3605"/>
        <item x="1008"/>
        <item x="3606"/>
        <item x="3607"/>
        <item x="2321"/>
        <item x="1009"/>
        <item x="3608"/>
        <item x="2322"/>
        <item x="1010"/>
        <item x="3609"/>
        <item x="3610"/>
        <item x="1011"/>
        <item x="2323"/>
        <item x="3611"/>
        <item x="1012"/>
        <item x="2324"/>
        <item x="3612"/>
        <item x="3613"/>
        <item x="1013"/>
        <item x="2325"/>
        <item x="3614"/>
        <item x="1014"/>
        <item x="2326"/>
        <item x="3615"/>
        <item x="2327"/>
        <item x="3616"/>
        <item x="1015"/>
        <item x="2328"/>
        <item x="3617"/>
        <item x="1016"/>
        <item x="3618"/>
        <item x="2329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3619"/>
        <item x="2330"/>
        <item x="1017"/>
        <item x="3620"/>
        <item x="2331"/>
        <item x="1018"/>
        <item x="3621"/>
        <item x="2332"/>
        <item x="3622"/>
        <item x="2333"/>
        <item x="1019"/>
        <item x="3623"/>
        <item x="2334"/>
        <item x="1020"/>
        <item x="3624"/>
        <item x="2335"/>
        <item x="2336"/>
        <item x="3625"/>
        <item x="2337"/>
        <item x="3626"/>
        <item x="2338"/>
        <item x="1021"/>
        <item x="3627"/>
        <item x="2339"/>
        <item x="2340"/>
        <item x="3628"/>
        <item x="756"/>
        <item x="757"/>
        <item x="758"/>
        <item x="759"/>
        <item x="760"/>
        <item x="761"/>
        <item x="762"/>
        <item x="763"/>
        <item x="764"/>
        <item x="2341"/>
        <item x="1022"/>
        <item x="2342"/>
        <item x="3629"/>
        <item x="2343"/>
        <item x="3630"/>
        <item x="2344"/>
        <item x="2345"/>
        <item x="1023"/>
        <item x="3631"/>
        <item x="2346"/>
        <item x="2347"/>
        <item x="3632"/>
        <item x="2348"/>
        <item x="1024"/>
        <item x="3633"/>
        <item x="2349"/>
        <item x="2350"/>
        <item x="3634"/>
        <item x="2351"/>
        <item x="3635"/>
        <item x="765"/>
        <item x="766"/>
        <item x="767"/>
        <item x="768"/>
        <item x="769"/>
        <item x="770"/>
        <item x="1025"/>
        <item x="2352"/>
        <item x="2353"/>
        <item x="3636"/>
        <item x="2354"/>
        <item x="2355"/>
        <item x="3637"/>
        <item x="2356"/>
        <item x="2357"/>
        <item x="2358"/>
        <item x="1026"/>
        <item x="3638"/>
        <item x="2359"/>
        <item x="2360"/>
        <item x="3639"/>
        <item x="2361"/>
        <item x="2362"/>
        <item x="3640"/>
        <item x="1027"/>
        <item x="2363"/>
        <item x="3641"/>
        <item x="2364"/>
        <item x="2365"/>
        <item x="3642"/>
        <item x="2366"/>
        <item x="771"/>
        <item x="772"/>
        <item x="773"/>
        <item x="774"/>
        <item x="775"/>
        <item x="3643"/>
        <item x="2367"/>
        <item x="1028"/>
        <item x="2368"/>
        <item x="3644"/>
        <item x="2369"/>
        <item x="3645"/>
        <item x="2370"/>
        <item x="3646"/>
        <item x="2371"/>
        <item x="1029"/>
        <item x="2372"/>
        <item x="3647"/>
        <item x="2373"/>
        <item x="3648"/>
        <item x="2374"/>
        <item x="3649"/>
        <item x="1030"/>
        <item x="2375"/>
        <item x="3650"/>
        <item x="2376"/>
        <item x="3651"/>
        <item x="776"/>
        <item x="777"/>
        <item x="778"/>
        <item x="779"/>
        <item x="780"/>
        <item x="2377"/>
        <item x="3652"/>
        <item x="2378"/>
        <item x="3653"/>
        <item x="2379"/>
        <item x="1031"/>
        <item x="3654"/>
        <item x="2380"/>
        <item x="3655"/>
        <item x="2381"/>
        <item x="2382"/>
        <item x="3656"/>
        <item x="2383"/>
        <item x="3657"/>
        <item x="1032"/>
        <item x="2384"/>
        <item x="3658"/>
        <item x="781"/>
        <item x="782"/>
        <item x="783"/>
        <item x="2385"/>
        <item x="3659"/>
        <item x="2386"/>
        <item x="3660"/>
        <item x="1033"/>
        <item x="2387"/>
        <item x="3661"/>
        <item x="2388"/>
        <item x="3662"/>
        <item x="2389"/>
        <item x="3663"/>
        <item x="1034"/>
        <item x="2390"/>
        <item x="3664"/>
        <item x="2391"/>
        <item x="784"/>
        <item x="785"/>
        <item x="786"/>
        <item x="3665"/>
        <item x="2392"/>
        <item x="3666"/>
        <item x="1035"/>
        <item x="2393"/>
        <item x="3667"/>
        <item x="2394"/>
        <item x="4165"/>
        <item x="4166"/>
        <item x="4167"/>
        <item x="4164"/>
        <item x="4168"/>
        <item x="4169"/>
        <item x="4163"/>
        <item x="4170"/>
        <item x="4171"/>
        <item x="4162"/>
        <item x="4172"/>
        <item x="4173"/>
        <item x="4161"/>
        <item x="2395"/>
        <item x="4174"/>
        <item x="4160"/>
        <item x="4175"/>
        <item x="4176"/>
        <item x="4177"/>
        <item x="4159"/>
        <item x="4178"/>
        <item x="3668"/>
        <item x="4158"/>
        <item x="4179"/>
        <item x="4180"/>
        <item x="4157"/>
        <item x="4156"/>
        <item x="4181"/>
        <item x="4155"/>
        <item x="4182"/>
        <item x="4183"/>
        <item x="4154"/>
        <item x="4184"/>
        <item x="4223"/>
        <item x="4198"/>
        <item x="4222"/>
        <item x="4224"/>
        <item x="4217"/>
        <item x="4153"/>
        <item x="4199"/>
        <item x="4185"/>
        <item x="4221"/>
        <item x="4197"/>
        <item x="4218"/>
        <item x="4200"/>
        <item x="4216"/>
        <item x="4219"/>
        <item x="4186"/>
        <item x="4220"/>
        <item x="4215"/>
        <item x="4201"/>
        <item x="4190"/>
        <item x="4196"/>
        <item x="4189"/>
        <item x="4188"/>
        <item x="4225"/>
        <item x="4187"/>
        <item x="4193"/>
        <item x="4192"/>
        <item x="4191"/>
        <item x="4194"/>
        <item x="4214"/>
        <item x="4202"/>
        <item x="4195"/>
        <item x="4152"/>
        <item x="4213"/>
        <item x="4203"/>
        <item x="2396"/>
        <item x="4212"/>
        <item x="4204"/>
        <item x="4226"/>
        <item x="4211"/>
        <item x="4210"/>
        <item x="4205"/>
        <item x="4208"/>
        <item x="4209"/>
        <item x="4207"/>
        <item x="4206"/>
        <item x="4151"/>
        <item x="4227"/>
        <item x="1036"/>
        <item x="4150"/>
        <item x="4228"/>
        <item x="3669"/>
        <item x="4229"/>
        <item x="4149"/>
        <item x="4230"/>
        <item x="2397"/>
        <item x="4148"/>
        <item x="4231"/>
        <item x="4232"/>
        <item x="4147"/>
        <item x="127"/>
        <item x="128"/>
        <item x="129"/>
        <item x="130"/>
        <item x="131"/>
        <item x="132"/>
        <item x="133"/>
        <item x="134"/>
        <item x="135"/>
        <item x="136"/>
        <item x="787"/>
        <item x="788"/>
        <item x="4233"/>
        <item x="3670"/>
        <item x="4234"/>
        <item x="4146"/>
        <item x="2398"/>
        <item x="4235"/>
        <item x="4145"/>
        <item x="4236"/>
        <item x="4237"/>
        <item x="4144"/>
        <item x="1037"/>
        <item x="4238"/>
        <item x="3671"/>
        <item x="2399"/>
        <item x="4239"/>
        <item x="4143"/>
        <item x="4240"/>
        <item x="4241"/>
        <item x="4142"/>
        <item x="4242"/>
        <item x="4243"/>
        <item x="4141"/>
        <item x="2400"/>
        <item x="4244"/>
        <item x="3672"/>
        <item x="4245"/>
        <item x="4140"/>
        <item x="4246"/>
        <item x="4139"/>
        <item x="4247"/>
        <item x="2401"/>
        <item x="4248"/>
        <item x="4138"/>
        <item x="4249"/>
        <item x="3673"/>
        <item x="4250"/>
        <item x="4137"/>
        <item x="1038"/>
        <item x="4251"/>
        <item x="4136"/>
        <item x="2402"/>
        <item x="4252"/>
        <item x="4135"/>
        <item x="4253"/>
        <item x="4134"/>
        <item x="4254"/>
        <item x="3674"/>
        <item x="4133"/>
        <item x="2403"/>
        <item x="4255"/>
        <item x="4132"/>
        <item x="4256"/>
        <item x="789"/>
        <item x="790"/>
        <item x="791"/>
        <item x="4131"/>
        <item x="4257"/>
        <item x="1039"/>
        <item x="4258"/>
        <item x="4130"/>
        <item x="3675"/>
        <item x="2404"/>
        <item x="4259"/>
        <item x="4129"/>
        <item x="4260"/>
        <item x="4128"/>
        <item x="4261"/>
        <item x="3676"/>
        <item x="4127"/>
        <item x="4262"/>
        <item x="2405"/>
        <item x="4263"/>
        <item x="4126"/>
        <item x="4264"/>
        <item x="1040"/>
        <item x="4265"/>
        <item x="4125"/>
        <item x="4266"/>
        <item x="3677"/>
        <item x="4124"/>
        <item x="2406"/>
        <item x="4267"/>
        <item x="4268"/>
        <item x="4123"/>
        <item x="4269"/>
        <item x="4122"/>
        <item x="4270"/>
        <item x="2407"/>
        <item x="3678"/>
        <item x="4121"/>
        <item x="4271"/>
        <item x="1041"/>
        <item x="4272"/>
        <item x="4120"/>
        <item x="4273"/>
        <item x="4119"/>
        <item x="4274"/>
        <item x="2408"/>
        <item x="3679"/>
        <item x="4118"/>
        <item x="4275"/>
        <item x="4276"/>
        <item x="4117"/>
        <item x="4277"/>
        <item x="792"/>
        <item x="793"/>
        <item x="2409"/>
        <item x="4116"/>
        <item x="4278"/>
        <item x="3680"/>
        <item x="4279"/>
        <item x="1042"/>
        <item x="4115"/>
        <item x="4280"/>
        <item x="4281"/>
        <item x="2410"/>
        <item x="3681"/>
        <item x="4114"/>
        <item x="4282"/>
        <item x="4283"/>
        <item x="4284"/>
        <item x="4113"/>
        <item x="4285"/>
        <item x="4286"/>
        <item x="2411"/>
        <item x="3682"/>
        <item x="4287"/>
        <item x="4112"/>
        <item x="4288"/>
        <item x="4289"/>
        <item x="4290"/>
        <item x="1043"/>
        <item x="4291"/>
        <item x="4111"/>
        <item x="2412"/>
        <item x="4292"/>
        <item x="3683"/>
        <item x="4293"/>
        <item x="4294"/>
        <item x="4110"/>
        <item x="4295"/>
        <item x="4296"/>
        <item x="2413"/>
        <item x="4297"/>
        <item x="4298"/>
        <item x="4109"/>
        <item x="3684"/>
        <item x="4299"/>
        <item x="4300"/>
        <item x="4108"/>
        <item x="2414"/>
        <item x="4301"/>
        <item x="1044"/>
        <item x="4302"/>
        <item x="3685"/>
        <item x="4107"/>
        <item x="4303"/>
        <item x="794"/>
        <item x="2415"/>
        <item x="4304"/>
        <item x="4106"/>
        <item x="4305"/>
        <item x="3686"/>
        <item x="4306"/>
        <item x="2416"/>
        <item x="4105"/>
        <item x="4307"/>
        <item x="4308"/>
        <item x="4309"/>
        <item x="4104"/>
        <item x="1045"/>
        <item x="2417"/>
        <item x="3687"/>
        <item x="4310"/>
        <item x="4311"/>
        <item x="4103"/>
        <item x="2418"/>
        <item x="4312"/>
        <item x="4313"/>
        <item x="3688"/>
        <item x="4102"/>
        <item x="4314"/>
        <item x="2419"/>
        <item x="4315"/>
        <item x="4316"/>
        <item x="4101"/>
        <item x="4317"/>
        <item x="2420"/>
        <item x="3689"/>
        <item x="4318"/>
        <item x="1046"/>
        <item x="4100"/>
        <item x="4319"/>
        <item x="2421"/>
        <item x="4320"/>
        <item x="4321"/>
        <item x="4099"/>
        <item x="4322"/>
        <item x="3690"/>
        <item x="2422"/>
        <item x="4323"/>
        <item x="4098"/>
        <item x="795"/>
        <item x="796"/>
        <item x="4324"/>
        <item x="4097"/>
        <item x="2423"/>
        <item x="4325"/>
        <item x="1047"/>
        <item x="3691"/>
        <item x="4326"/>
        <item x="4096"/>
        <item x="2424"/>
        <item x="4327"/>
        <item x="4095"/>
        <item x="4328"/>
        <item x="2425"/>
        <item x="4329"/>
        <item x="3692"/>
        <item x="4094"/>
        <item x="1048"/>
        <item x="4330"/>
        <item x="2426"/>
        <item x="4093"/>
        <item x="4331"/>
        <item x="4332"/>
        <item x="4092"/>
        <item x="2427"/>
        <item x="3693"/>
        <item x="4333"/>
        <item x="4091"/>
        <item x="4334"/>
        <item x="2428"/>
        <item x="1713"/>
        <item x="1715"/>
        <item x="1716"/>
        <item x="1717"/>
        <item x="1714"/>
        <item x="1712"/>
        <item x="1718"/>
        <item x="1719"/>
        <item x="1711"/>
        <item x="1710"/>
        <item x="1720"/>
        <item x="1709"/>
        <item x="1721"/>
        <item x="1633"/>
        <item x="1708"/>
        <item x="1634"/>
        <item x="1722"/>
        <item x="1635"/>
        <item x="1707"/>
        <item x="1723"/>
        <item x="1636"/>
        <item x="1632"/>
        <item x="1637"/>
        <item x="1638"/>
        <item x="1639"/>
        <item x="1724"/>
        <item x="1640"/>
        <item x="1706"/>
        <item x="1725"/>
        <item x="4335"/>
        <item x="4090"/>
        <item x="4336"/>
        <item x="1631"/>
        <item x="1641"/>
        <item x="1726"/>
        <item x="1642"/>
        <item x="1727"/>
        <item x="1630"/>
        <item x="1705"/>
        <item x="1643"/>
        <item x="1049"/>
        <item x="1728"/>
        <item x="1629"/>
        <item x="1704"/>
        <item x="1628"/>
        <item x="1729"/>
        <item x="1703"/>
        <item x="1644"/>
        <item x="1627"/>
        <item x="1730"/>
        <item x="1702"/>
        <item x="1626"/>
        <item x="3694"/>
        <item x="2429"/>
        <item x="4089"/>
        <item x="4337"/>
        <item x="1625"/>
        <item x="1645"/>
        <item x="1731"/>
        <item x="1701"/>
        <item x="1624"/>
        <item x="1623"/>
        <item x="1700"/>
        <item x="1646"/>
        <item x="1622"/>
        <item x="1732"/>
        <item x="1621"/>
        <item x="1699"/>
        <item x="1647"/>
        <item x="4338"/>
        <item x="4088"/>
        <item x="2430"/>
        <item x="797"/>
        <item x="1620"/>
        <item x="1733"/>
        <item x="1698"/>
        <item x="1619"/>
        <item x="1648"/>
        <item x="1697"/>
        <item x="1696"/>
        <item x="1734"/>
        <item x="1618"/>
        <item x="1649"/>
        <item x="1695"/>
        <item x="1617"/>
        <item x="1694"/>
        <item x="1650"/>
        <item x="1616"/>
        <item x="4339"/>
        <item x="4087"/>
        <item x="3695"/>
        <item x="4340"/>
        <item x="1735"/>
        <item x="1050"/>
        <item x="1693"/>
        <item x="1651"/>
        <item x="1615"/>
        <item x="1652"/>
        <item x="1692"/>
        <item x="1653"/>
        <item x="1736"/>
        <item x="1691"/>
        <item x="1614"/>
        <item x="1654"/>
        <item x="1656"/>
        <item x="1690"/>
        <item x="1657"/>
        <item x="1658"/>
        <item x="1655"/>
        <item x="1689"/>
        <item x="1659"/>
        <item x="1688"/>
        <item x="2431"/>
        <item x="4341"/>
        <item x="4086"/>
        <item x="1660"/>
        <item x="1687"/>
        <item x="1661"/>
        <item x="1683"/>
        <item x="1686"/>
        <item x="1679"/>
        <item x="1682"/>
        <item x="1678"/>
        <item x="1680"/>
        <item x="1684"/>
        <item x="1681"/>
        <item x="1685"/>
        <item x="1677"/>
        <item x="1676"/>
        <item x="1613"/>
        <item x="1668"/>
        <item x="1667"/>
        <item x="1669"/>
        <item x="1662"/>
        <item x="1664"/>
        <item x="1666"/>
        <item x="1670"/>
        <item x="1665"/>
        <item x="1663"/>
        <item x="1675"/>
        <item x="1671"/>
        <item x="1672"/>
        <item x="1674"/>
        <item x="1673"/>
        <item x="1737"/>
        <item x="1612"/>
        <item x="1051"/>
        <item x="4342"/>
        <item x="2432"/>
        <item x="4085"/>
        <item x="4343"/>
        <item x="3696"/>
        <item x="1611"/>
        <item x="1738"/>
        <item x="1610"/>
        <item x="1609"/>
        <item x="4344"/>
        <item x="4084"/>
        <item x="1739"/>
        <item x="1608"/>
        <item x="2433"/>
        <item x="4345"/>
        <item x="4346"/>
        <item x="3697"/>
        <item x="1607"/>
        <item x="1740"/>
        <item x="1052"/>
        <item x="1606"/>
        <item x="1741"/>
        <item x="4083"/>
        <item x="2434"/>
        <item x="4347"/>
        <item x="1605"/>
        <item x="1742"/>
        <item x="1604"/>
        <item x="4348"/>
        <item x="4082"/>
        <item x="4349"/>
        <item x="1743"/>
        <item x="1603"/>
        <item x="1053"/>
        <item x="1744"/>
        <item x="2435"/>
        <item x="3698"/>
        <item x="4350"/>
        <item x="4081"/>
        <item x="1602"/>
        <item x="1745"/>
        <item x="1601"/>
        <item x="1746"/>
        <item x="4351"/>
        <item x="2436"/>
        <item x="4352"/>
        <item x="1747"/>
        <item x="1600"/>
        <item x="4080"/>
        <item x="3699"/>
        <item x="4353"/>
        <item x="798"/>
        <item x="1748"/>
        <item x="1599"/>
        <item x="1054"/>
        <item x="1749"/>
        <item x="1598"/>
        <item x="1750"/>
        <item x="2437"/>
        <item x="4354"/>
        <item x="4079"/>
        <item x="4355"/>
        <item x="1751"/>
        <item x="1597"/>
        <item x="1752"/>
        <item x="4356"/>
        <item x="2438"/>
        <item x="4078"/>
        <item x="3700"/>
        <item x="1596"/>
        <item x="1753"/>
        <item x="1754"/>
        <item x="1595"/>
        <item x="1055"/>
        <item x="4357"/>
        <item x="4358"/>
        <item x="1755"/>
        <item x="1594"/>
        <item x="1756"/>
        <item x="4077"/>
        <item x="4359"/>
        <item x="2439"/>
        <item x="1757"/>
        <item x="1593"/>
        <item x="1758"/>
        <item x="4360"/>
        <item x="3701"/>
        <item x="4076"/>
        <item x="4361"/>
        <item x="1759"/>
        <item x="1592"/>
        <item x="1056"/>
        <item x="1760"/>
        <item x="1591"/>
        <item x="2440"/>
        <item x="4362"/>
        <item x="4363"/>
        <item x="4075"/>
        <item x="1761"/>
        <item x="1590"/>
        <item x="1762"/>
        <item x="1589"/>
        <item x="4364"/>
        <item x="3702"/>
        <item x="2441"/>
        <item x="4365"/>
        <item x="1763"/>
        <item x="1588"/>
        <item x="1764"/>
        <item x="4366"/>
        <item x="4074"/>
        <item x="4367"/>
        <item x="1057"/>
        <item x="1587"/>
        <item x="1765"/>
        <item x="4368"/>
        <item x="2442"/>
        <item x="4369"/>
        <item x="4073"/>
        <item x="3703"/>
        <item x="4370"/>
        <item x="1586"/>
        <item x="1766"/>
        <item x="1767"/>
        <item x="1585"/>
        <item x="4371"/>
        <item x="4372"/>
        <item x="4072"/>
        <item x="799"/>
        <item x="1768"/>
        <item x="1584"/>
        <item x="1058"/>
        <item x="4373"/>
        <item x="2443"/>
        <item x="4374"/>
        <item x="4375"/>
        <item x="1769"/>
        <item x="1583"/>
        <item x="1770"/>
        <item x="4376"/>
        <item x="3704"/>
        <item x="4071"/>
        <item x="4377"/>
        <item x="4378"/>
        <item x="1582"/>
        <item x="1771"/>
        <item x="4379"/>
        <item x="2444"/>
        <item x="4380"/>
        <item x="4070"/>
        <item x="4381"/>
        <item x="4382"/>
        <item x="4383"/>
        <item x="1581"/>
        <item x="1772"/>
        <item x="1059"/>
        <item x="4384"/>
        <item x="4385"/>
        <item x="4386"/>
        <item x="3705"/>
        <item x="4387"/>
        <item x="4388"/>
        <item x="4069"/>
        <item x="4389"/>
        <item x="4390"/>
        <item x="1580"/>
        <item x="1773"/>
        <item x="1579"/>
        <item x="4391"/>
        <item x="2445"/>
        <item x="4392"/>
        <item x="4393"/>
        <item x="4394"/>
        <item x="4068"/>
        <item x="4395"/>
        <item x="1774"/>
        <item x="1578"/>
        <item x="4396"/>
        <item x="4397"/>
        <item x="3706"/>
        <item x="4398"/>
        <item x="4399"/>
        <item x="4400"/>
        <item x="4401"/>
        <item x="4402"/>
        <item x="4403"/>
        <item x="4404"/>
        <item x="4405"/>
        <item x="1577"/>
        <item x="1775"/>
        <item x="1576"/>
        <item x="4067"/>
        <item x="4406"/>
        <item x="4407"/>
        <item x="2446"/>
        <item x="4408"/>
        <item x="4409"/>
        <item x="4410"/>
        <item x="4411"/>
        <item x="4412"/>
        <item x="1060"/>
        <item x="1575"/>
        <item x="1776"/>
        <item x="1574"/>
        <item x="4066"/>
        <item x="4413"/>
        <item x="4414"/>
        <item x="4415"/>
        <item x="3707"/>
        <item x="4416"/>
        <item x="1573"/>
        <item x="1777"/>
        <item x="1572"/>
        <item x="4417"/>
        <item x="4065"/>
        <item x="4418"/>
        <item x="4419"/>
        <item x="2447"/>
        <item x="4420"/>
        <item x="4421"/>
        <item x="1571"/>
        <item x="1778"/>
        <item x="1570"/>
        <item x="4064"/>
        <item x="4422"/>
        <item x="4423"/>
        <item x="4424"/>
        <item x="3708"/>
        <item x="4425"/>
        <item x="4441"/>
        <item x="4443"/>
        <item x="4442"/>
        <item x="4444"/>
        <item x="800"/>
        <item x="801"/>
        <item x="1569"/>
        <item x="1061"/>
        <item x="1779"/>
        <item x="1568"/>
        <item x="4440"/>
        <item x="4426"/>
        <item x="4445"/>
        <item x="4439"/>
        <item x="4438"/>
        <item x="4437"/>
        <item x="4446"/>
        <item x="4427"/>
        <item x="4436"/>
        <item x="4435"/>
        <item x="4447"/>
        <item x="4434"/>
        <item x="4433"/>
        <item x="4428"/>
        <item x="4429"/>
        <item x="4432"/>
        <item x="4063"/>
        <item x="4431"/>
        <item x="4430"/>
        <item x="4448"/>
        <item x="4449"/>
        <item x="2448"/>
        <item x="4450"/>
        <item x="1567"/>
        <item x="1780"/>
        <item x="1566"/>
        <item x="4451"/>
        <item x="4062"/>
        <item x="4452"/>
        <item x="4453"/>
        <item x="1565"/>
        <item x="1781"/>
        <item x="1564"/>
        <item x="4454"/>
        <item x="3709"/>
        <item x="4455"/>
        <item x="4061"/>
        <item x="4456"/>
        <item x="4457"/>
        <item x="4458"/>
        <item x="1062"/>
        <item x="1563"/>
        <item x="1782"/>
        <item x="1562"/>
        <item x="4459"/>
        <item x="2449"/>
        <item x="4460"/>
        <item x="4060"/>
        <item x="4461"/>
        <item x="4462"/>
        <item x="1561"/>
        <item x="1783"/>
        <item x="4463"/>
        <item x="4059"/>
        <item x="3710"/>
        <item x="4464"/>
        <item x="1560"/>
        <item x="1559"/>
        <item x="4465"/>
        <item x="4058"/>
        <item x="2450"/>
        <item x="4466"/>
        <item x="1784"/>
        <item x="1063"/>
        <item x="1558"/>
        <item x="4467"/>
        <item x="4057"/>
        <item x="4468"/>
        <item x="4469"/>
        <item x="3711"/>
        <item x="1785"/>
        <item x="1557"/>
        <item x="4470"/>
        <item x="4056"/>
        <item x="4471"/>
        <item x="2451"/>
        <item x="4472"/>
        <item x="1556"/>
        <item x="1786"/>
        <item x="1555"/>
        <item x="4055"/>
        <item x="4473"/>
        <item x="4474"/>
        <item x="1787"/>
        <item x="1554"/>
        <item x="1064"/>
        <item x="4475"/>
        <item x="3712"/>
        <item x="4054"/>
        <item x="4476"/>
        <item x="2452"/>
        <item x="802"/>
        <item x="803"/>
        <item x="1553"/>
        <item x="1788"/>
        <item x="1552"/>
        <item x="4477"/>
        <item x="4478"/>
        <item x="4053"/>
        <item x="4479"/>
        <item x="1789"/>
        <item x="1551"/>
        <item x="4480"/>
        <item x="4052"/>
        <item x="4481"/>
        <item x="3713"/>
        <item x="1790"/>
        <item x="1550"/>
        <item x="1065"/>
        <item x="2453"/>
        <item x="4482"/>
        <item x="4051"/>
        <item x="4483"/>
        <item x="1549"/>
        <item x="1791"/>
        <item x="1548"/>
        <item x="4484"/>
        <item x="4050"/>
        <item x="4485"/>
        <item x="1792"/>
        <item x="1547"/>
        <item x="3714"/>
        <item x="4486"/>
        <item x="4049"/>
        <item x="2454"/>
        <item x="4487"/>
        <item x="1546"/>
        <item x="1793"/>
        <item x="1545"/>
        <item x="1066"/>
        <item x="4488"/>
        <item x="4048"/>
        <item x="1544"/>
        <item x="1794"/>
        <item x="1543"/>
        <item x="4489"/>
        <item x="3715"/>
        <item x="4047"/>
        <item x="4490"/>
        <item x="1542"/>
        <item x="1795"/>
        <item x="1541"/>
        <item x="2455"/>
        <item x="4491"/>
        <item x="1796"/>
        <item x="1540"/>
        <item x="4046"/>
        <item x="4492"/>
        <item x="1539"/>
        <item x="1797"/>
        <item x="1067"/>
        <item x="4045"/>
        <item x="3716"/>
        <item x="4493"/>
        <item x="2456"/>
        <item x="4044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804"/>
        <item x="805"/>
        <item x="806"/>
        <item x="1538"/>
        <item x="1798"/>
        <item x="1537"/>
        <item x="4494"/>
        <item x="4043"/>
        <item x="1799"/>
        <item x="1536"/>
        <item x="4495"/>
        <item x="3717"/>
        <item x="2457"/>
        <item x="4042"/>
        <item x="4496"/>
        <item x="1800"/>
        <item x="1535"/>
        <item x="1068"/>
        <item x="1801"/>
        <item x="4041"/>
        <item x="4497"/>
        <item x="1534"/>
        <item x="1802"/>
        <item x="4040"/>
        <item x="4498"/>
        <item x="3718"/>
        <item x="1533"/>
        <item x="2458"/>
        <item x="4039"/>
        <item x="4499"/>
        <item x="4038"/>
        <item x="4500"/>
        <item x="1803"/>
        <item x="1532"/>
        <item x="4501"/>
        <item x="4037"/>
        <item x="1804"/>
        <item x="1531"/>
        <item x="1069"/>
        <item x="1530"/>
        <item x="3719"/>
        <item x="2459"/>
        <item x="4502"/>
        <item x="4036"/>
        <item x="1805"/>
        <item x="1529"/>
        <item x="4503"/>
        <item x="4504"/>
        <item x="4035"/>
        <item x="1806"/>
        <item x="1528"/>
        <item x="3720"/>
        <item x="2460"/>
        <item x="4505"/>
        <item x="1807"/>
        <item x="1527"/>
        <item x="4034"/>
        <item x="4506"/>
        <item x="807"/>
        <item x="808"/>
        <item x="1808"/>
        <item x="1526"/>
        <item x="1809"/>
        <item x="1070"/>
        <item x="4507"/>
        <item x="4033"/>
        <item x="2461"/>
        <item x="3721"/>
        <item x="1525"/>
        <item x="1810"/>
        <item x="4508"/>
        <item x="4032"/>
        <item x="4509"/>
        <item x="1524"/>
        <item x="1811"/>
        <item x="1812"/>
        <item x="4031"/>
        <item x="4510"/>
        <item x="1523"/>
        <item x="1813"/>
        <item x="2462"/>
        <item x="3722"/>
        <item x="4511"/>
        <item x="4030"/>
        <item x="1814"/>
        <item x="1522"/>
        <item x="1815"/>
        <item x="4512"/>
        <item x="4029"/>
        <item x="1071"/>
        <item x="1521"/>
        <item x="1816"/>
        <item x="4513"/>
        <item x="2463"/>
        <item x="3723"/>
        <item x="1817"/>
        <item x="1520"/>
        <item x="1818"/>
        <item x="4028"/>
        <item x="4514"/>
        <item x="1819"/>
        <item x="1519"/>
        <item x="4515"/>
        <item x="4027"/>
        <item x="2464"/>
        <item x="4516"/>
        <item x="1820"/>
        <item x="1821"/>
        <item x="1072"/>
        <item x="1518"/>
        <item x="3724"/>
        <item x="4026"/>
        <item x="4517"/>
        <item x="1822"/>
        <item x="1823"/>
        <item x="1824"/>
        <item x="4518"/>
        <item x="4025"/>
        <item x="809"/>
        <item x="810"/>
        <item x="1517"/>
        <item x="1825"/>
        <item x="1826"/>
        <item x="2465"/>
        <item x="4519"/>
        <item x="4024"/>
        <item x="3725"/>
        <item x="1516"/>
        <item x="1827"/>
        <item x="1828"/>
        <item x="4520"/>
        <item x="4023"/>
        <item x="1515"/>
        <item x="1829"/>
        <item x="1073"/>
        <item x="1830"/>
        <item x="4521"/>
        <item x="4022"/>
        <item x="1831"/>
        <item x="1514"/>
        <item x="1832"/>
        <item x="2466"/>
        <item x="4522"/>
        <item x="3726"/>
        <item x="4021"/>
        <item x="4523"/>
        <item x="1833"/>
        <item x="1513"/>
        <item x="1834"/>
        <item x="4020"/>
        <item x="4524"/>
        <item x="1835"/>
        <item x="1836"/>
        <item x="1512"/>
        <item x="1074"/>
        <item x="4019"/>
        <item x="4525"/>
        <item x="2467"/>
        <item x="1837"/>
        <item x="1838"/>
        <item x="1511"/>
        <item x="4018"/>
        <item x="3727"/>
        <item x="4526"/>
        <item x="4017"/>
        <item x="1839"/>
        <item x="1840"/>
        <item x="1510"/>
        <item x="4527"/>
        <item x="4016"/>
        <item x="4528"/>
        <item x="1841"/>
        <item x="1842"/>
        <item x="4015"/>
        <item x="4529"/>
        <item x="3728"/>
        <item x="4014"/>
        <item x="1509"/>
        <item x="1843"/>
        <item x="1075"/>
        <item x="2468"/>
        <item x="4530"/>
        <item x="4013"/>
        <item x="4531"/>
        <item x="811"/>
        <item x="812"/>
        <item x="1508"/>
        <item x="1844"/>
        <item x="1845"/>
        <item x="4012"/>
        <item x="4532"/>
        <item x="4011"/>
        <item x="1507"/>
        <item x="1846"/>
        <item x="4533"/>
        <item x="3729"/>
        <item x="4010"/>
        <item x="4534"/>
        <item x="4009"/>
        <item x="1847"/>
        <item x="1506"/>
        <item x="2469"/>
        <item x="4535"/>
        <item x="4008"/>
        <item x="4536"/>
        <item x="1848"/>
        <item x="1505"/>
        <item x="1076"/>
        <item x="1849"/>
        <item x="4007"/>
        <item x="4537"/>
        <item x="3730"/>
        <item x="4538"/>
        <item x="1504"/>
        <item x="1850"/>
        <item x="4006"/>
        <item x="4539"/>
        <item x="4540"/>
        <item x="1851"/>
        <item x="1503"/>
        <item x="2470"/>
        <item x="4005"/>
        <item x="4541"/>
        <item x="3731"/>
        <item x="4542"/>
        <item x="1852"/>
        <item x="1502"/>
        <item x="4004"/>
        <item x="4543"/>
        <item x="4544"/>
        <item x="1853"/>
        <item x="1077"/>
        <item x="1854"/>
        <item x="1501"/>
        <item x="4003"/>
        <item x="4545"/>
        <item x="3732"/>
        <item x="1855"/>
        <item x="1500"/>
        <item x="4002"/>
        <item x="2471"/>
        <item x="4546"/>
        <item x="4547"/>
        <item x="1856"/>
        <item x="1499"/>
        <item x="4001"/>
        <item x="4548"/>
        <item x="4549"/>
        <item x="813"/>
        <item x="814"/>
        <item x="1857"/>
        <item x="1078"/>
        <item x="4000"/>
        <item x="3733"/>
        <item x="4550"/>
        <item x="1498"/>
        <item x="1858"/>
        <item x="3999"/>
        <item x="2472"/>
        <item x="4551"/>
        <item x="4552"/>
        <item x="1859"/>
        <item x="1497"/>
        <item x="1860"/>
        <item x="3998"/>
        <item x="3734"/>
        <item x="4553"/>
        <item x="3997"/>
        <item x="1496"/>
        <item x="1861"/>
        <item x="4554"/>
        <item x="4555"/>
        <item x="3996"/>
        <item x="1495"/>
        <item x="1862"/>
        <item x="1079"/>
        <item x="2473"/>
        <item x="3735"/>
        <item x="4556"/>
        <item x="3995"/>
        <item x="1494"/>
        <item x="1863"/>
        <item x="4557"/>
        <item x="3994"/>
        <item x="1864"/>
        <item x="1493"/>
        <item x="3736"/>
        <item x="4558"/>
        <item x="3993"/>
        <item x="1865"/>
        <item x="1492"/>
        <item x="2474"/>
        <item x="4559"/>
        <item x="3992"/>
        <item x="1866"/>
        <item x="1080"/>
        <item x="1491"/>
        <item x="4560"/>
        <item x="3737"/>
        <item x="1867"/>
        <item x="3991"/>
        <item x="4561"/>
        <item x="815"/>
        <item x="1490"/>
        <item x="1868"/>
        <item x="2475"/>
        <item x="3990"/>
        <item x="4562"/>
        <item x="3738"/>
        <item x="1869"/>
        <item x="1489"/>
        <item x="3989"/>
        <item x="4563"/>
        <item x="1081"/>
        <item x="1870"/>
        <item x="3739"/>
        <item x="4564"/>
        <item x="3988"/>
        <item x="2476"/>
        <item x="1871"/>
        <item x="1488"/>
        <item x="4565"/>
        <item x="3987"/>
        <item x="1872"/>
        <item x="1487"/>
        <item x="1873"/>
        <item x="3740"/>
        <item x="4566"/>
        <item x="1082"/>
        <item x="1874"/>
        <item x="2477"/>
        <item x="3986"/>
        <item x="1486"/>
        <item x="1875"/>
        <item x="4567"/>
        <item x="3985"/>
        <item x="3741"/>
        <item x="1876"/>
        <item x="4568"/>
        <item x="2478"/>
        <item x="3984"/>
        <item x="1485"/>
        <item x="1877"/>
        <item x="4569"/>
        <item x="1083"/>
        <item x="1878"/>
        <item x="3742"/>
        <item x="3983"/>
        <item x="4570"/>
        <item x="816"/>
        <item x="817"/>
        <item x="1484"/>
        <item x="1879"/>
        <item x="2479"/>
        <item x="4571"/>
        <item x="3982"/>
        <item x="1880"/>
        <item x="1483"/>
        <item x="3743"/>
        <item x="4572"/>
        <item x="1881"/>
        <item x="3981"/>
        <item x="4573"/>
        <item x="1084"/>
        <item x="1882"/>
        <item x="1482"/>
        <item x="2480"/>
        <item x="3744"/>
        <item x="3980"/>
        <item x="4574"/>
        <item x="1883"/>
        <item x="1884"/>
        <item x="1481"/>
        <item x="1885"/>
        <item x="4575"/>
        <item x="3979"/>
        <item x="3745"/>
        <item x="1886"/>
        <item x="1085"/>
        <item x="1480"/>
        <item x="2481"/>
        <item x="3978"/>
        <item x="4576"/>
        <item x="1887"/>
        <item x="1479"/>
        <item x="1888"/>
        <item x="3977"/>
        <item x="3746"/>
        <item x="4577"/>
        <item x="1889"/>
        <item x="3976"/>
        <item x="2482"/>
        <item x="4578"/>
        <item x="818"/>
        <item x="1478"/>
        <item x="1890"/>
        <item x="1086"/>
        <item x="3747"/>
        <item x="3975"/>
        <item x="1891"/>
        <item x="4579"/>
        <item x="3974"/>
        <item x="1477"/>
        <item x="1892"/>
        <item x="2483"/>
        <item x="3748"/>
        <item x="1893"/>
        <item x="1476"/>
        <item x="4580"/>
        <item x="3973"/>
        <item x="1894"/>
        <item x="1087"/>
        <item x="3972"/>
        <item x="3749"/>
        <item x="1895"/>
        <item x="1475"/>
        <item x="4581"/>
        <item x="2484"/>
        <item x="1896"/>
        <item x="3971"/>
        <item x="1474"/>
        <item x="1897"/>
        <item x="4582"/>
        <item x="3750"/>
        <item x="3970"/>
        <item x="1898"/>
        <item x="1088"/>
        <item x="3969"/>
        <item x="1473"/>
        <item x="1899"/>
        <item x="2485"/>
        <item x="4583"/>
        <item x="3751"/>
        <item x="819"/>
        <item x="820"/>
        <item x="1900"/>
        <item x="1472"/>
        <item x="3968"/>
        <item x="1901"/>
        <item x="1089"/>
        <item x="4584"/>
        <item x="3752"/>
        <item x="3967"/>
        <item x="1902"/>
        <item x="1471"/>
        <item x="2486"/>
        <item x="1903"/>
        <item x="1904"/>
        <item x="4585"/>
        <item x="3966"/>
        <item x="3753"/>
        <item x="1470"/>
        <item x="1905"/>
        <item x="3965"/>
        <item x="1090"/>
        <item x="1906"/>
        <item x="4586"/>
        <item x="2487"/>
        <item x="1469"/>
        <item x="1907"/>
        <item x="3964"/>
        <item x="3754"/>
        <item x="1908"/>
        <item x="4587"/>
        <item x="3963"/>
        <item x="1468"/>
        <item x="1909"/>
        <item x="3755"/>
        <item x="2488"/>
        <item x="1091"/>
        <item x="3962"/>
        <item x="4588"/>
        <item x="3756"/>
        <item x="821"/>
        <item x="822"/>
        <item x="1910"/>
        <item x="1467"/>
        <item x="3961"/>
        <item x="1911"/>
        <item x="3757"/>
        <item x="3960"/>
        <item x="1912"/>
        <item x="1466"/>
        <item x="1092"/>
        <item x="4589"/>
        <item x="2489"/>
        <item x="1913"/>
        <item x="3959"/>
        <item x="3758"/>
        <item x="1914"/>
        <item x="1465"/>
        <item x="4590"/>
        <item x="3759"/>
        <item x="1915"/>
        <item x="3958"/>
        <item x="2490"/>
        <item x="1916"/>
        <item x="1093"/>
        <item x="1464"/>
        <item x="3760"/>
        <item x="4591"/>
        <item x="3957"/>
        <item x="1917"/>
        <item x="3761"/>
        <item x="1918"/>
        <item x="1463"/>
        <item x="3956"/>
        <item x="4592"/>
        <item x="1919"/>
        <item x="3762"/>
        <item x="2491"/>
        <item x="149"/>
        <item x="150"/>
        <item x="151"/>
        <item x="152"/>
        <item x="438"/>
        <item x="437"/>
        <item x="439"/>
        <item x="440"/>
        <item x="442"/>
        <item x="443"/>
        <item x="441"/>
        <item x="436"/>
        <item x="444"/>
        <item x="445"/>
        <item x="435"/>
        <item x="446"/>
        <item x="447"/>
        <item x="434"/>
        <item x="448"/>
        <item x="433"/>
        <item x="449"/>
        <item x="432"/>
        <item x="450"/>
        <item x="451"/>
        <item x="431"/>
        <item x="427"/>
        <item x="430"/>
        <item x="426"/>
        <item x="428"/>
        <item x="429"/>
        <item x="452"/>
        <item x="425"/>
        <item x="153"/>
        <item x="453"/>
        <item x="424"/>
        <item x="454"/>
        <item x="423"/>
        <item x="455"/>
        <item x="456"/>
        <item x="422"/>
        <item x="421"/>
        <item x="420"/>
        <item x="457"/>
        <item x="458"/>
        <item x="419"/>
        <item x="459"/>
        <item x="418"/>
        <item x="460"/>
        <item x="417"/>
        <item x="461"/>
        <item x="416"/>
        <item x="154"/>
        <item x="462"/>
        <item x="415"/>
        <item x="463"/>
        <item x="464"/>
        <item x="414"/>
        <item x="465"/>
        <item x="466"/>
        <item x="413"/>
        <item x="467"/>
        <item x="155"/>
        <item x="412"/>
        <item x="468"/>
        <item x="469"/>
        <item x="411"/>
        <item x="470"/>
        <item x="471"/>
        <item x="410"/>
        <item x="472"/>
        <item x="473"/>
        <item x="409"/>
        <item x="474"/>
        <item x="156"/>
        <item x="475"/>
        <item x="408"/>
        <item x="476"/>
        <item x="407"/>
        <item x="477"/>
        <item x="478"/>
        <item x="406"/>
        <item x="479"/>
        <item x="480"/>
        <item x="405"/>
        <item x="481"/>
        <item x="482"/>
        <item x="157"/>
        <item x="483"/>
        <item x="404"/>
        <item x="484"/>
        <item x="485"/>
        <item x="486"/>
        <item x="403"/>
        <item x="487"/>
        <item x="488"/>
        <item x="158"/>
        <item x="402"/>
        <item x="489"/>
        <item x="490"/>
        <item x="401"/>
        <item x="491"/>
        <item x="492"/>
        <item x="159"/>
        <item x="400"/>
        <item x="493"/>
        <item x="494"/>
        <item x="399"/>
        <item x="495"/>
        <item x="496"/>
        <item x="398"/>
        <item x="497"/>
        <item x="160"/>
        <item x="498"/>
        <item x="397"/>
        <item x="499"/>
        <item x="500"/>
        <item x="396"/>
        <item x="501"/>
        <item x="161"/>
        <item x="502"/>
        <item x="395"/>
        <item x="503"/>
        <item x="823"/>
        <item x="824"/>
        <item x="1920"/>
        <item x="1094"/>
        <item x="1462"/>
        <item x="3763"/>
        <item x="3955"/>
        <item x="1921"/>
        <item x="1922"/>
        <item x="4593"/>
        <item x="3764"/>
        <item x="1461"/>
        <item x="1923"/>
        <item x="3954"/>
        <item x="3765"/>
        <item x="4594"/>
        <item x="1095"/>
        <item x="1924"/>
        <item x="2492"/>
        <item x="3766"/>
        <item x="1460"/>
        <item x="1925"/>
        <item x="3953"/>
        <item x="3767"/>
        <item x="1926"/>
        <item x="4595"/>
        <item x="3952"/>
        <item x="1459"/>
        <item x="1927"/>
        <item x="3768"/>
        <item x="4596"/>
        <item x="1096"/>
        <item x="1928"/>
        <item x="2493"/>
        <item x="3769"/>
        <item x="3951"/>
        <item x="1929"/>
        <item x="1458"/>
        <item x="3770"/>
        <item x="4597"/>
        <item x="1930"/>
        <item x="1931"/>
        <item x="3950"/>
        <item x="3771"/>
        <item x="825"/>
        <item x="826"/>
        <item x="1457"/>
        <item x="1932"/>
        <item x="3772"/>
        <item x="3949"/>
        <item x="4598"/>
        <item x="1097"/>
        <item x="1933"/>
        <item x="1934"/>
        <item x="3773"/>
        <item x="2494"/>
        <item x="1456"/>
        <item x="1935"/>
        <item x="3948"/>
        <item x="3774"/>
        <item x="4599"/>
        <item x="1936"/>
        <item x="1938"/>
        <item x="1937"/>
        <item x="1939"/>
        <item x="1455"/>
        <item x="3947"/>
        <item x="3775"/>
        <item x="1940"/>
        <item x="1941"/>
        <item x="1098"/>
        <item x="1942"/>
        <item x="3776"/>
        <item x="4600"/>
        <item x="3946"/>
        <item x="1943"/>
        <item x="1454"/>
        <item x="1944"/>
        <item x="3777"/>
        <item x="2495"/>
        <item x="1945"/>
        <item x="3945"/>
        <item x="3778"/>
        <item x="4601"/>
        <item x="1453"/>
        <item x="3779"/>
        <item x="3944"/>
        <item x="1946"/>
        <item x="1099"/>
        <item x="3780"/>
        <item x="4602"/>
        <item x="1947"/>
        <item x="1452"/>
        <item x="3943"/>
        <item x="3781"/>
        <item x="2496"/>
        <item x="3782"/>
        <item x="827"/>
        <item x="828"/>
        <item x="1948"/>
        <item x="3942"/>
        <item x="3783"/>
        <item x="1949"/>
        <item x="1451"/>
        <item x="4603"/>
        <item x="3784"/>
        <item x="1100"/>
        <item x="1950"/>
        <item x="3941"/>
        <item x="3785"/>
        <item x="1951"/>
        <item x="1450"/>
        <item x="4604"/>
        <item x="3786"/>
        <item x="3940"/>
        <item x="1952"/>
        <item x="2497"/>
        <item x="3787"/>
        <item x="1449"/>
        <item x="1101"/>
        <item x="1953"/>
        <item x="4605"/>
        <item x="3939"/>
        <item x="3788"/>
        <item x="3789"/>
        <item x="1954"/>
        <item x="1448"/>
        <item x="3938"/>
        <item x="4606"/>
        <item x="3790"/>
        <item x="1955"/>
        <item x="3791"/>
        <item x="3937"/>
        <item x="1102"/>
        <item x="1956"/>
        <item x="2498"/>
        <item x="3792"/>
        <item x="4607"/>
        <item x="829"/>
        <item x="830"/>
        <item x="1447"/>
        <item x="3793"/>
        <item x="3936"/>
        <item x="1957"/>
        <item x="3794"/>
        <item x="3795"/>
        <item x="1446"/>
        <item x="1958"/>
        <item x="1103"/>
        <item x="4608"/>
        <item x="3935"/>
        <item x="3796"/>
        <item x="1959"/>
        <item x="3797"/>
        <item x="1445"/>
        <item x="3798"/>
        <item x="2499"/>
        <item x="4609"/>
        <item x="3934"/>
        <item x="3799"/>
        <item x="1104"/>
        <item x="1960"/>
        <item x="3800"/>
        <item x="1444"/>
        <item x="4610"/>
        <item x="3801"/>
        <item x="3933"/>
        <item x="1961"/>
        <item x="3802"/>
        <item x="3932"/>
        <item x="3803"/>
        <item x="1443"/>
        <item x="1105"/>
        <item x="4611"/>
        <item x="3804"/>
        <item x="2500"/>
        <item x="1962"/>
        <item x="3805"/>
        <item x="3931"/>
        <item x="831"/>
        <item x="832"/>
        <item x="1442"/>
        <item x="1963"/>
        <item x="3806"/>
        <item x="4612"/>
        <item x="3807"/>
        <item x="1106"/>
        <item x="1441"/>
        <item x="3930"/>
        <item x="3808"/>
        <item x="1964"/>
        <item x="3809"/>
        <item x="4613"/>
        <item x="3810"/>
        <item x="3929"/>
        <item x="1440"/>
        <item x="3811"/>
        <item x="3812"/>
        <item x="1107"/>
        <item x="1965"/>
        <item x="1439"/>
        <item x="3813"/>
        <item x="4614"/>
        <item x="2501"/>
        <item x="3928"/>
        <item x="3814"/>
        <item x="3815"/>
        <item x="3816"/>
        <item x="3021"/>
        <item x="3020"/>
        <item x="3817"/>
        <item x="1438"/>
        <item x="1966"/>
        <item x="3022"/>
        <item x="3927"/>
        <item x="3019"/>
        <item x="3818"/>
        <item x="3023"/>
        <item x="3018"/>
        <item x="4615"/>
        <item x="3819"/>
        <item x="3017"/>
        <item x="3024"/>
        <item x="3820"/>
        <item x="3821"/>
        <item x="1108"/>
        <item x="1437"/>
        <item x="3822"/>
        <item x="3832"/>
        <item x="3831"/>
        <item x="3823"/>
        <item x="3825"/>
        <item x="3830"/>
        <item x="3826"/>
        <item x="3016"/>
        <item x="3824"/>
        <item x="3828"/>
        <item x="3829"/>
        <item x="3827"/>
        <item x="3833"/>
        <item x="3015"/>
        <item x="3025"/>
        <item x="3926"/>
        <item x="3834"/>
        <item x="3014"/>
        <item x="3835"/>
        <item x="1967"/>
        <item x="3836"/>
        <item x="3837"/>
        <item x="3838"/>
        <item x="3026"/>
        <item x="3013"/>
        <item x="3839"/>
        <item x="3840"/>
        <item x="4616"/>
        <item x="3012"/>
        <item x="3841"/>
        <item x="1436"/>
        <item x="1109"/>
        <item x="3027"/>
        <item x="3925"/>
        <item x="3011"/>
        <item x="3842"/>
        <item x="3028"/>
        <item x="3010"/>
        <item x="3029"/>
        <item x="833"/>
        <item x="834"/>
        <item x="1968"/>
        <item x="1435"/>
        <item x="3843"/>
        <item x="3009"/>
        <item x="3905"/>
        <item x="3904"/>
        <item x="3903"/>
        <item x="3844"/>
        <item x="3030"/>
        <item x="3924"/>
        <item x="2502"/>
        <item x="3008"/>
        <item x="3902"/>
        <item x="4617"/>
        <item x="3906"/>
        <item x="3901"/>
        <item x="1969"/>
        <item x="3907"/>
        <item x="3908"/>
        <item x="3909"/>
        <item x="3910"/>
        <item x="3900"/>
        <item x="3911"/>
        <item x="3845"/>
        <item x="3912"/>
        <item x="3031"/>
        <item x="3007"/>
        <item x="3913"/>
        <item x="3899"/>
        <item x="3914"/>
        <item x="3915"/>
        <item x="1110"/>
        <item x="1970"/>
        <item x="1434"/>
        <item x="3846"/>
        <item x="3006"/>
        <item x="3898"/>
        <item x="3916"/>
        <item x="3032"/>
        <item x="3923"/>
        <item x="3917"/>
        <item x="3918"/>
        <item x="3897"/>
        <item x="3847"/>
        <item x="3005"/>
        <item x="3919"/>
        <item x="4618"/>
        <item x="1971"/>
        <item x="3896"/>
        <item x="3920"/>
        <item x="3033"/>
        <item x="3004"/>
        <item x="3848"/>
        <item x="3895"/>
        <item x="3034"/>
        <item x="3003"/>
        <item x="3922"/>
        <item x="1433"/>
        <item x="3849"/>
        <item x="3894"/>
        <item x="3002"/>
        <item x="3035"/>
        <item x="3850"/>
        <item x="1111"/>
        <item x="1972"/>
        <item x="1432"/>
        <item x="3001"/>
        <item x="4619"/>
        <item x="3893"/>
        <item x="3921"/>
        <item x="3036"/>
        <item x="3851"/>
        <item x="3000"/>
        <item x="1973"/>
        <item x="3037"/>
        <item x="3892"/>
        <item x="3852"/>
        <item x="2999"/>
        <item x="3853"/>
        <item x="3891"/>
        <item x="2998"/>
        <item x="1431"/>
        <item x="1974"/>
        <item x="1112"/>
        <item x="3038"/>
        <item x="3890"/>
        <item x="3854"/>
        <item x="4620"/>
        <item x="2503"/>
        <item x="2997"/>
        <item x="3889"/>
        <item x="1430"/>
        <item x="1975"/>
        <item x="3855"/>
        <item x="3888"/>
        <item x="3039"/>
        <item x="2996"/>
        <item x="3887"/>
        <item x="3856"/>
        <item x="3886"/>
        <item x="1976"/>
        <item x="1429"/>
        <item x="3885"/>
        <item x="2995"/>
        <item x="3857"/>
        <item x="3884"/>
        <item x="3879"/>
        <item x="3880"/>
        <item x="3878"/>
        <item x="4621"/>
        <item x="3883"/>
        <item x="3040"/>
        <item x="3882"/>
        <item x="3881"/>
        <item x="3877"/>
        <item x="2994"/>
        <item x="3858"/>
        <item x="3876"/>
        <item x="835"/>
        <item x="836"/>
        <item x="1113"/>
        <item x="1977"/>
        <item x="3875"/>
        <item x="3859"/>
        <item x="2993"/>
        <item x="3874"/>
        <item x="3041"/>
        <item x="3860"/>
        <item x="1428"/>
        <item x="1978"/>
        <item x="3873"/>
        <item x="3861"/>
        <item x="2992"/>
        <item x="3862"/>
        <item x="3863"/>
        <item x="4622"/>
        <item x="3865"/>
        <item x="3864"/>
        <item x="3866"/>
        <item x="3867"/>
        <item x="3872"/>
        <item x="3871"/>
        <item x="3868"/>
        <item x="3870"/>
        <item x="3042"/>
        <item x="3869"/>
        <item x="1427"/>
        <item x="2991"/>
        <item x="3043"/>
        <item x="2990"/>
        <item x="1114"/>
        <item x="1979"/>
        <item x="4623"/>
        <item x="2989"/>
        <item x="3044"/>
        <item x="1980"/>
        <item x="1426"/>
        <item x="2504"/>
        <item x="2988"/>
        <item x="2987"/>
        <item x="1981"/>
        <item x="1115"/>
        <item x="4624"/>
        <item x="2986"/>
        <item x="3045"/>
        <item x="1425"/>
        <item x="1982"/>
        <item x="2985"/>
        <item x="3046"/>
        <item x="2984"/>
        <item x="4625"/>
        <item x="1983"/>
        <item x="1424"/>
        <item x="2983"/>
        <item x="3047"/>
        <item x="1116"/>
        <item x="1984"/>
        <item x="2982"/>
        <item x="4626"/>
        <item x="3048"/>
        <item x="1423"/>
        <item x="1985"/>
        <item x="2981"/>
        <item x="837"/>
        <item x="838"/>
        <item x="1117"/>
        <item x="1986"/>
        <item x="1422"/>
        <item x="2505"/>
        <item x="3049"/>
        <item x="4627"/>
        <item x="2980"/>
        <item x="1987"/>
        <item x="3050"/>
        <item x="2979"/>
        <item x="1988"/>
        <item x="1421"/>
        <item x="1118"/>
        <item x="4628"/>
        <item x="1989"/>
        <item x="2978"/>
        <item x="3051"/>
        <item x="1420"/>
        <item x="1990"/>
        <item x="2977"/>
        <item x="4629"/>
        <item x="1119"/>
        <item x="1419"/>
        <item x="1991"/>
        <item x="3052"/>
        <item x="2976"/>
        <item x="4630"/>
        <item x="2975"/>
        <item x="1992"/>
        <item x="1418"/>
        <item x="1120"/>
        <item x="2506"/>
        <item x="3053"/>
        <item x="2974"/>
        <item x="1993"/>
        <item x="4631"/>
        <item x="3054"/>
        <item x="1417"/>
        <item x="1994"/>
        <item x="1121"/>
        <item x="2973"/>
        <item x="4632"/>
        <item x="839"/>
        <item x="840"/>
        <item x="1416"/>
        <item x="1995"/>
        <item x="1996"/>
        <item x="2972"/>
        <item x="3055"/>
        <item x="4633"/>
        <item x="1415"/>
        <item x="1122"/>
        <item x="2971"/>
        <item x="1997"/>
        <item x="1414"/>
        <item x="3056"/>
        <item x="4634"/>
        <item x="1998"/>
        <item x="1413"/>
        <item x="1123"/>
        <item x="2970"/>
        <item x="2507"/>
        <item x="1999"/>
        <item x="1412"/>
        <item x="4635"/>
        <item x="3057"/>
        <item x="2969"/>
        <item x="2000"/>
        <item x="1411"/>
        <item x="1124"/>
        <item x="2001"/>
        <item x="1410"/>
        <item x="4636"/>
        <item x="2968"/>
        <item x="2002"/>
        <item x="1409"/>
        <item x="3058"/>
        <item x="2967"/>
        <item x="4637"/>
        <item x="1125"/>
        <item x="2003"/>
        <item x="1408"/>
        <item x="841"/>
        <item x="1407"/>
        <item x="2004"/>
        <item x="2966"/>
        <item x="4638"/>
        <item x="3059"/>
        <item x="1406"/>
        <item x="1126"/>
        <item x="2005"/>
        <item x="1405"/>
        <item x="2508"/>
        <item x="2965"/>
        <item x="1404"/>
        <item x="1403"/>
        <item x="2006"/>
        <item x="4639"/>
        <item x="1402"/>
        <item x="1401"/>
        <item x="1400"/>
        <item x="2007"/>
        <item x="2964"/>
        <item x="3060"/>
        <item x="4640"/>
        <item x="1399"/>
        <item x="1127"/>
        <item x="1398"/>
        <item x="1397"/>
        <item x="2008"/>
        <item x="2963"/>
        <item x="1396"/>
        <item x="1395"/>
        <item x="1394"/>
        <item x="2009"/>
        <item x="4641"/>
        <item x="3061"/>
        <item x="2962"/>
        <item x="1393"/>
        <item x="1392"/>
        <item x="2010"/>
        <item x="1391"/>
        <item x="1128"/>
        <item x="1390"/>
        <item x="1389"/>
        <item x="2011"/>
        <item x="1388"/>
        <item x="4642"/>
        <item x="2961"/>
        <item x="1387"/>
        <item x="1386"/>
        <item x="2012"/>
        <item x="1385"/>
        <item x="3062"/>
        <item x="2960"/>
        <item x="2509"/>
        <item x="4643"/>
        <item x="1384"/>
        <item x="1383"/>
        <item x="2013"/>
        <item x="1382"/>
        <item x="1381"/>
        <item x="1129"/>
        <item x="2959"/>
        <item x="504"/>
        <item x="394"/>
        <item x="505"/>
        <item x="162"/>
        <item x="393"/>
        <item x="506"/>
        <item x="392"/>
        <item x="507"/>
        <item x="391"/>
        <item x="508"/>
        <item x="509"/>
        <item x="163"/>
        <item x="390"/>
        <item x="510"/>
        <item x="389"/>
        <item x="511"/>
        <item x="388"/>
        <item x="512"/>
        <item x="387"/>
        <item x="513"/>
        <item x="164"/>
        <item x="386"/>
        <item x="514"/>
        <item x="515"/>
        <item x="385"/>
        <item x="516"/>
        <item x="384"/>
        <item x="517"/>
        <item x="165"/>
        <item x="518"/>
        <item x="383"/>
        <item x="519"/>
        <item x="520"/>
        <item x="521"/>
        <item x="382"/>
        <item x="166"/>
        <item x="522"/>
        <item x="523"/>
        <item x="524"/>
        <item x="381"/>
        <item x="525"/>
        <item x="167"/>
        <item x="526"/>
        <item x="527"/>
        <item x="380"/>
        <item x="528"/>
        <item x="529"/>
        <item x="168"/>
        <item x="379"/>
        <item x="530"/>
        <item x="531"/>
        <item x="532"/>
        <item x="378"/>
        <item x="533"/>
        <item x="169"/>
        <item x="534"/>
        <item x="377"/>
        <item x="535"/>
        <item x="536"/>
        <item x="376"/>
        <item x="170"/>
        <item x="537"/>
        <item x="538"/>
        <item x="539"/>
        <item x="375"/>
        <item x="540"/>
        <item x="541"/>
        <item x="542"/>
        <item x="171"/>
        <item x="543"/>
        <item x="374"/>
        <item x="544"/>
        <item x="545"/>
        <item x="546"/>
        <item x="373"/>
        <item x="547"/>
        <item x="172"/>
        <item x="548"/>
        <item x="549"/>
        <item x="372"/>
        <item x="550"/>
        <item x="551"/>
        <item x="173"/>
        <item x="371"/>
        <item x="552"/>
        <item x="370"/>
        <item x="553"/>
        <item x="554"/>
        <item x="174"/>
        <item x="369"/>
        <item x="555"/>
        <item x="556"/>
        <item x="368"/>
        <item x="175"/>
        <item x="557"/>
        <item x="367"/>
        <item x="558"/>
        <item x="366"/>
        <item x="559"/>
        <item x="176"/>
        <item x="560"/>
        <item x="365"/>
        <item x="842"/>
        <item x="843"/>
        <item x="1380"/>
        <item x="2014"/>
        <item x="1379"/>
        <item x="4644"/>
        <item x="1378"/>
        <item x="2015"/>
        <item x="1377"/>
        <item x="2958"/>
        <item x="3063"/>
        <item x="2016"/>
        <item x="1376"/>
        <item x="1130"/>
        <item x="2957"/>
        <item x="4645"/>
        <item x="1375"/>
        <item x="2017"/>
        <item x="2956"/>
        <item x="1374"/>
        <item x="2018"/>
        <item x="1373"/>
        <item x="4646"/>
        <item x="3064"/>
        <item x="2955"/>
        <item x="1131"/>
        <item x="2019"/>
        <item x="1372"/>
        <item x="4647"/>
        <item x="2020"/>
        <item x="1371"/>
        <item x="2954"/>
        <item x="2510"/>
        <item x="2021"/>
        <item x="1370"/>
        <item x="1132"/>
        <item x="4648"/>
        <item x="2953"/>
        <item x="2022"/>
        <item x="1369"/>
        <item x="1368"/>
        <item x="3065"/>
        <item x="4649"/>
        <item x="2952"/>
        <item x="2023"/>
        <item x="1367"/>
        <item x="1366"/>
        <item x="1365"/>
        <item x="2951"/>
        <item x="4650"/>
        <item x="844"/>
        <item x="845"/>
        <item x="1364"/>
        <item x="2024"/>
        <item x="1133"/>
        <item x="1363"/>
        <item x="1362"/>
        <item x="2025"/>
        <item x="1361"/>
        <item x="2950"/>
        <item x="4651"/>
        <item x="3066"/>
        <item x="1360"/>
        <item x="2026"/>
        <item x="1359"/>
        <item x="1358"/>
        <item x="1357"/>
        <item x="1134"/>
        <item x="2949"/>
        <item x="4652"/>
        <item x="2027"/>
        <item x="1356"/>
        <item x="1355"/>
        <item x="2948"/>
        <item x="1354"/>
        <item x="2028"/>
        <item x="1353"/>
        <item x="2511"/>
        <item x="4653"/>
        <item x="2947"/>
        <item x="1352"/>
        <item x="2029"/>
        <item x="1351"/>
        <item x="1135"/>
        <item x="3067"/>
        <item x="4654"/>
        <item x="2030"/>
        <item x="1350"/>
        <item x="2946"/>
        <item x="2031"/>
        <item x="1349"/>
        <item x="2945"/>
        <item x="4655"/>
        <item x="1136"/>
        <item x="2032"/>
        <item x="1348"/>
        <item x="2944"/>
        <item x="4656"/>
        <item x="2033"/>
        <item x="1347"/>
        <item x="846"/>
        <item x="847"/>
        <item x="2034"/>
        <item x="1346"/>
        <item x="1137"/>
        <item x="3068"/>
        <item x="2943"/>
        <item x="4657"/>
        <item x="2035"/>
        <item x="1345"/>
        <item x="2942"/>
        <item x="2036"/>
        <item x="1344"/>
        <item x="4658"/>
        <item x="2512"/>
        <item x="2037"/>
        <item x="1138"/>
        <item x="2941"/>
        <item x="4659"/>
        <item x="2038"/>
        <item x="1343"/>
        <item x="3069"/>
        <item x="2039"/>
        <item x="1342"/>
        <item x="1139"/>
        <item x="2940"/>
        <item x="4660"/>
        <item x="2040"/>
        <item x="2041"/>
        <item x="1341"/>
        <item x="2042"/>
        <item x="2939"/>
        <item x="4661"/>
        <item x="1340"/>
        <item x="1140"/>
        <item x="2043"/>
        <item x="3070"/>
        <item x="1339"/>
        <item x="2044"/>
        <item x="4662"/>
        <item x="2938"/>
        <item x="848"/>
        <item x="2045"/>
        <item x="1338"/>
        <item x="1141"/>
        <item x="2513"/>
        <item x="4663"/>
        <item x="2046"/>
        <item x="2937"/>
        <item x="1337"/>
        <item x="2047"/>
        <item x="4664"/>
        <item x="3071"/>
        <item x="2048"/>
        <item x="1142"/>
        <item x="1336"/>
        <item x="2936"/>
        <item x="2049"/>
        <item x="1335"/>
        <item x="4665"/>
        <item x="2050"/>
        <item x="1334"/>
        <item x="1143"/>
        <item x="4666"/>
        <item x="2935"/>
        <item x="2051"/>
        <item x="1333"/>
        <item x="3072"/>
        <item x="2052"/>
        <item x="1332"/>
        <item x="1144"/>
        <item x="4667"/>
        <item x="2053"/>
        <item x="1331"/>
        <item x="2054"/>
        <item x="2934"/>
        <item x="2514"/>
        <item x="4668"/>
        <item x="2055"/>
        <item x="1330"/>
        <item x="849"/>
        <item x="850"/>
        <item x="1145"/>
        <item x="2056"/>
        <item x="2933"/>
        <item x="4669"/>
        <item x="3073"/>
        <item x="1329"/>
        <item x="2057"/>
        <item x="4670"/>
        <item x="1146"/>
        <item x="2058"/>
        <item x="1328"/>
        <item x="2932"/>
        <item x="2059"/>
        <item x="1327"/>
        <item x="4671"/>
        <item x="2060"/>
        <item x="1147"/>
        <item x="3074"/>
        <item x="2931"/>
        <item x="1326"/>
        <item x="2061"/>
        <item x="1325"/>
        <item x="4672"/>
        <item x="2515"/>
        <item x="1324"/>
        <item x="2062"/>
        <item x="1323"/>
        <item x="1148"/>
        <item x="4673"/>
        <item x="1322"/>
        <item x="2063"/>
        <item x="1321"/>
        <item x="1320"/>
        <item x="2930"/>
        <item x="2064"/>
        <item x="1319"/>
        <item x="3075"/>
        <item x="4674"/>
        <item x="1318"/>
        <item x="1149"/>
        <item x="2065"/>
        <item x="1317"/>
        <item x="2929"/>
        <item x="851"/>
        <item x="852"/>
        <item x="2066"/>
        <item x="1316"/>
        <item x="1315"/>
        <item x="4675"/>
        <item x="2067"/>
        <item x="1314"/>
        <item x="1150"/>
        <item x="2068"/>
        <item x="2928"/>
        <item x="4676"/>
        <item x="1313"/>
        <item x="1312"/>
        <item x="2069"/>
        <item x="3076"/>
        <item x="2516"/>
        <item x="1311"/>
        <item x="1151"/>
        <item x="2070"/>
        <item x="2927"/>
        <item x="4677"/>
        <item x="1310"/>
        <item x="2071"/>
        <item x="1309"/>
        <item x="1152"/>
        <item x="2072"/>
        <item x="1308"/>
        <item x="4678"/>
        <item x="2926"/>
        <item x="1307"/>
        <item x="2073"/>
        <item x="3077"/>
        <item x="4679"/>
        <item x="1153"/>
        <item x="1306"/>
        <item x="2074"/>
        <item x="2925"/>
        <item x="1305"/>
        <item x="2075"/>
        <item x="1154"/>
        <item x="4680"/>
        <item x="2517"/>
        <item x="1304"/>
        <item x="2076"/>
        <item x="2924"/>
        <item x="4681"/>
        <item x="853"/>
        <item x="854"/>
        <item x="1303"/>
        <item x="1155"/>
        <item x="2077"/>
        <item x="3078"/>
        <item x="2923"/>
        <item x="1302"/>
        <item x="2078"/>
        <item x="4682"/>
        <item x="1156"/>
        <item x="1301"/>
        <item x="2079"/>
        <item x="2922"/>
        <item x="4683"/>
        <item x="1157"/>
        <item x="2080"/>
        <item x="2921"/>
        <item x="3079"/>
        <item x="1300"/>
        <item x="2081"/>
        <item x="4684"/>
        <item x="2518"/>
        <item x="1158"/>
        <item x="1299"/>
        <item x="2920"/>
        <item x="4685"/>
        <item x="2082"/>
        <item x="1159"/>
        <item x="2919"/>
        <item x="4686"/>
        <item x="2083"/>
        <item x="1298"/>
        <item x="3080"/>
        <item x="2084"/>
        <item x="1160"/>
        <item x="1297"/>
        <item x="2918"/>
        <item x="4687"/>
        <item x="2085"/>
        <item x="2917"/>
        <item x="4688"/>
        <item x="2519"/>
        <item x="855"/>
        <item x="1161"/>
        <item x="2086"/>
        <item x="1296"/>
        <item x="2916"/>
        <item x="4689"/>
        <item x="2087"/>
        <item x="1162"/>
        <item x="1295"/>
        <item x="2088"/>
        <item x="4690"/>
        <item x="3081"/>
        <item x="2915"/>
        <item x="1163"/>
        <item x="2089"/>
        <item x="4691"/>
        <item x="1294"/>
        <item x="2090"/>
        <item x="2914"/>
        <item x="4692"/>
        <item x="1164"/>
        <item x="1293"/>
        <item x="2091"/>
        <item x="4693"/>
        <item x="2520"/>
        <item x="2913"/>
        <item x="4694"/>
        <item x="1165"/>
        <item x="2092"/>
        <item x="3082"/>
        <item x="4695"/>
        <item x="1292"/>
        <item x="1166"/>
        <item x="2912"/>
        <item x="4696"/>
        <item x="2093"/>
        <item x="1291"/>
        <item x="2911"/>
        <item x="4697"/>
        <item x="2094"/>
        <item x="1167"/>
        <item x="4698"/>
        <item x="856"/>
        <item x="857"/>
        <item x="1290"/>
        <item x="2095"/>
        <item x="1168"/>
        <item x="2910"/>
        <item x="3083"/>
        <item x="4699"/>
        <item x="1289"/>
        <item x="2096"/>
        <item x="2909"/>
        <item x="2521"/>
        <item x="4700"/>
        <item x="1169"/>
        <item x="1288"/>
        <item x="4701"/>
        <item x="2908"/>
        <item x="2097"/>
        <item x="1287"/>
        <item x="4702"/>
        <item x="1170"/>
        <item x="2098"/>
        <item x="3084"/>
        <item x="2907"/>
        <item x="4703"/>
        <item x="1286"/>
        <item x="4704"/>
        <item x="2906"/>
        <item x="4705"/>
        <item x="2099"/>
        <item x="1171"/>
        <item x="1285"/>
        <item x="4706"/>
        <item x="2905"/>
        <item x="2100"/>
        <item x="1284"/>
        <item x="1172"/>
        <item x="4707"/>
        <item x="4708"/>
        <item x="3085"/>
        <item x="2904"/>
        <item x="2101"/>
        <item x="1283"/>
        <item x="2522"/>
        <item x="4709"/>
        <item x="1173"/>
        <item x="2903"/>
        <item x="4710"/>
        <item x="4711"/>
        <item x="858"/>
        <item x="859"/>
        <item x="1282"/>
        <item x="2102"/>
        <item x="2902"/>
        <item x="4712"/>
        <item x="1281"/>
        <item x="1174"/>
        <item x="2103"/>
        <item x="3086"/>
        <item x="4713"/>
        <item x="2901"/>
        <item x="1280"/>
        <item x="4714"/>
        <item x="2900"/>
        <item x="2104"/>
        <item x="1175"/>
        <item x="1279"/>
        <item x="4715"/>
        <item x="2523"/>
        <item x="2899"/>
        <item x="2105"/>
        <item x="1278"/>
        <item x="3087"/>
        <item x="4716"/>
        <item x="2898"/>
        <item x="1176"/>
        <item x="2106"/>
        <item x="4717"/>
        <item x="1277"/>
        <item x="2897"/>
        <item x="1177"/>
        <item x="2107"/>
        <item x="1276"/>
        <item x="4718"/>
        <item x="2896"/>
        <item x="2108"/>
        <item x="1275"/>
        <item x="1178"/>
        <item x="4719"/>
        <item x="3088"/>
        <item x="2109"/>
        <item x="2895"/>
        <item x="4720"/>
        <item x="2524"/>
        <item x="561"/>
        <item x="177"/>
        <item x="364"/>
        <item x="562"/>
        <item x="363"/>
        <item x="563"/>
        <item x="178"/>
        <item x="362"/>
        <item x="564"/>
        <item x="361"/>
        <item x="565"/>
        <item x="179"/>
        <item x="566"/>
        <item x="567"/>
        <item x="360"/>
        <item x="568"/>
        <item x="180"/>
        <item x="569"/>
        <item x="359"/>
        <item x="570"/>
        <item x="571"/>
        <item x="358"/>
        <item x="181"/>
        <item x="572"/>
        <item x="573"/>
        <item x="357"/>
        <item x="574"/>
        <item x="182"/>
        <item x="356"/>
        <item x="575"/>
        <item x="576"/>
        <item x="183"/>
        <item x="355"/>
        <item x="577"/>
        <item x="354"/>
        <item x="578"/>
        <item x="184"/>
        <item x="579"/>
        <item x="353"/>
        <item x="580"/>
        <item x="185"/>
        <item x="581"/>
        <item x="352"/>
        <item x="582"/>
        <item x="186"/>
        <item x="351"/>
        <item x="583"/>
        <item x="187"/>
        <item x="584"/>
        <item x="350"/>
        <item x="188"/>
        <item x="585"/>
        <item x="189"/>
        <item x="349"/>
        <item x="586"/>
        <item x="190"/>
        <item x="587"/>
        <item x="348"/>
        <item x="588"/>
        <item x="191"/>
        <item x="347"/>
        <item x="589"/>
        <item x="192"/>
        <item x="590"/>
        <item x="346"/>
        <item x="591"/>
        <item x="193"/>
        <item x="345"/>
        <item x="592"/>
        <item x="194"/>
        <item x="593"/>
        <item x="344"/>
        <item x="594"/>
        <item x="195"/>
        <item x="860"/>
        <item x="861"/>
        <item x="862"/>
        <item x="1274"/>
        <item x="1179"/>
        <item x="2894"/>
        <item x="4721"/>
        <item x="2110"/>
        <item x="1273"/>
        <item x="3089"/>
        <item x="4722"/>
        <item x="2893"/>
        <item x="1180"/>
        <item x="2111"/>
        <item x="1272"/>
        <item x="4723"/>
        <item x="2112"/>
        <item x="1271"/>
        <item x="2892"/>
        <item x="4724"/>
        <item x="1181"/>
        <item x="3090"/>
        <item x="2891"/>
        <item x="4725"/>
        <item x="2525"/>
        <item x="2113"/>
        <item x="1270"/>
        <item x="1182"/>
        <item x="2890"/>
        <item x="4726"/>
        <item x="2114"/>
        <item x="1183"/>
        <item x="1269"/>
        <item x="2115"/>
        <item x="4727"/>
        <item x="2889"/>
        <item x="3091"/>
        <item x="1268"/>
        <item x="1184"/>
        <item x="4728"/>
        <item x="2888"/>
        <item x="2116"/>
        <item x="1267"/>
        <item x="4729"/>
        <item x="863"/>
        <item x="864"/>
        <item x="1266"/>
        <item x="1185"/>
        <item x="2117"/>
        <item x="1265"/>
        <item x="2526"/>
        <item x="2887"/>
        <item x="4730"/>
        <item x="3092"/>
        <item x="1264"/>
        <item x="1186"/>
        <item x="1263"/>
        <item x="2118"/>
        <item x="4731"/>
        <item x="1262"/>
        <item x="1261"/>
        <item x="2886"/>
        <item x="4732"/>
        <item x="1187"/>
        <item x="2119"/>
        <item x="1260"/>
        <item x="4733"/>
        <item x="2885"/>
        <item x="1250"/>
        <item x="1259"/>
        <item x="1249"/>
        <item x="1258"/>
        <item x="1257"/>
        <item x="1256"/>
        <item x="1251"/>
        <item x="1188"/>
        <item x="1255"/>
        <item x="1253"/>
        <item x="1254"/>
        <item x="2120"/>
        <item x="3093"/>
        <item x="4734"/>
        <item x="4735"/>
        <item x="1252"/>
        <item x="1248"/>
        <item x="4736"/>
        <item x="2527"/>
        <item x="2884"/>
        <item x="1247"/>
        <item x="1189"/>
        <item x="2121"/>
        <item x="4737"/>
        <item x="1246"/>
        <item x="1190"/>
        <item x="2122"/>
        <item x="4738"/>
        <item x="3094"/>
        <item x="2883"/>
        <item x="1245"/>
        <item x="1191"/>
        <item x="4739"/>
        <item x="2123"/>
        <item x="4740"/>
        <item x="2882"/>
        <item x="865"/>
        <item x="866"/>
        <item x="1244"/>
        <item x="1192"/>
        <item x="2124"/>
        <item x="4741"/>
        <item x="3095"/>
        <item x="1193"/>
        <item x="1243"/>
        <item x="2881"/>
        <item x="2528"/>
        <item x="2125"/>
        <item x="1194"/>
        <item x="2880"/>
        <item x="1242"/>
        <item x="2126"/>
        <item x="3096"/>
        <item x="1195"/>
        <item x="2879"/>
        <item x="1241"/>
        <item x="2127"/>
        <item x="1196"/>
        <item x="1240"/>
        <item x="2128"/>
        <item x="1197"/>
        <item x="1239"/>
        <item x="3097"/>
        <item x="2878"/>
        <item x="2129"/>
        <item x="1198"/>
        <item x="2529"/>
        <item x="1238"/>
        <item x="2877"/>
        <item x="1199"/>
        <item x="2130"/>
        <item x="3098"/>
        <item x="867"/>
        <item x="868"/>
        <item x="1200"/>
        <item x="1237"/>
        <item x="2131"/>
        <item x="2876"/>
        <item x="1201"/>
        <item x="2132"/>
        <item x="1202"/>
        <item x="3099"/>
        <item x="2875"/>
        <item x="1236"/>
        <item x="2133"/>
        <item x="2530"/>
        <item x="1203"/>
        <item x="2874"/>
        <item x="1204"/>
        <item x="1235"/>
        <item x="2134"/>
        <item x="3100"/>
        <item x="1205"/>
        <item x="2873"/>
        <item x="2135"/>
        <item x="1234"/>
        <item x="1206"/>
        <item x="3101"/>
        <item x="2136"/>
        <item x="2872"/>
        <item x="1207"/>
        <item x="1233"/>
        <item x="869"/>
        <item x="870"/>
        <item x="2137"/>
        <item x="1208"/>
        <item x="2531"/>
        <item x="3102"/>
        <item x="2871"/>
        <item x="2138"/>
        <item x="1209"/>
        <item x="1232"/>
        <item x="2870"/>
        <item x="2139"/>
        <item x="1210"/>
        <item x="3103"/>
        <item x="1211"/>
        <item x="2869"/>
        <item x="2140"/>
        <item x="1231"/>
        <item x="1212"/>
        <item x="2141"/>
        <item x="1213"/>
        <item x="1230"/>
        <item x="3104"/>
        <item x="2868"/>
        <item x="2532"/>
        <item x="1214"/>
        <item x="2142"/>
        <item x="1215"/>
        <item x="1229"/>
        <item x="2143"/>
        <item x="2867"/>
        <item x="871"/>
        <item x="872"/>
        <item x="1216"/>
        <item x="1228"/>
        <item x="3105"/>
        <item x="2144"/>
        <item x="1217"/>
        <item x="1227"/>
        <item x="1218"/>
        <item x="1226"/>
        <item x="2145"/>
        <item x="2866"/>
        <item x="1219"/>
        <item x="1225"/>
        <item x="2146"/>
        <item x="1222"/>
        <item x="1224"/>
        <item x="1223"/>
        <item x="1220"/>
        <item x="1221"/>
        <item x="3106"/>
        <item x="2865"/>
        <item x="2533"/>
        <item x="2147"/>
        <item x="2148"/>
        <item x="2864"/>
        <item x="2149"/>
        <item x="3107"/>
        <item x="2150"/>
        <item x="2863"/>
        <item x="873"/>
        <item x="874"/>
        <item x="875"/>
        <item x="2151"/>
        <item x="2862"/>
        <item x="2534"/>
        <item x="2152"/>
        <item x="3108"/>
        <item x="2861"/>
        <item x="2153"/>
        <item x="2154"/>
        <item x="2860"/>
        <item x="3109"/>
        <item x="2155"/>
        <item x="2535"/>
        <item x="2156"/>
        <item x="2859"/>
        <item x="2157"/>
        <item x="2858"/>
        <item x="3110"/>
        <item x="876"/>
        <item x="877"/>
        <item x="2158"/>
        <item x="2857"/>
        <item x="2536"/>
        <item x="2159"/>
        <item x="3111"/>
        <item x="2160"/>
        <item x="2856"/>
        <item x="2161"/>
        <item x="2855"/>
        <item x="2162"/>
        <item x="3112"/>
        <item x="2163"/>
        <item x="2537"/>
        <item x="2854"/>
        <item x="878"/>
        <item x="879"/>
        <item x="2164"/>
        <item x="2165"/>
        <item x="3113"/>
        <item x="2853"/>
        <item x="2166"/>
        <item x="2538"/>
        <item x="2167"/>
        <item x="2852"/>
        <item x="2168"/>
        <item x="3114"/>
        <item x="2169"/>
        <item x="2851"/>
        <item x="2170"/>
        <item x="2171"/>
        <item x="3115"/>
        <item x="2850"/>
        <item x="2539"/>
        <item x="880"/>
        <item x="881"/>
        <item x="882"/>
        <item x="2172"/>
        <item x="2173"/>
        <item x="2174"/>
        <item x="2175"/>
        <item x="2849"/>
        <item x="2176"/>
        <item x="3116"/>
        <item x="2177"/>
        <item x="2848"/>
        <item x="2178"/>
        <item x="2540"/>
        <item x="2179"/>
        <item x="2847"/>
        <item x="3117"/>
        <item x="2180"/>
        <item x="2846"/>
        <item x="2181"/>
        <item x="2182"/>
        <item x="2845"/>
        <item x="343"/>
        <item x="595"/>
        <item x="196"/>
        <item x="596"/>
        <item x="342"/>
        <item x="197"/>
        <item x="597"/>
        <item x="341"/>
        <item x="598"/>
        <item x="198"/>
        <item x="599"/>
        <item x="340"/>
        <item x="199"/>
        <item x="600"/>
        <item x="339"/>
        <item x="601"/>
        <item x="200"/>
        <item x="602"/>
        <item x="338"/>
        <item x="201"/>
        <item x="603"/>
        <item x="604"/>
        <item x="337"/>
        <item x="202"/>
        <item x="605"/>
        <item x="336"/>
        <item x="203"/>
        <item x="606"/>
        <item x="607"/>
        <item x="204"/>
        <item x="335"/>
        <item x="608"/>
        <item x="205"/>
        <item x="609"/>
        <item x="334"/>
        <item x="206"/>
        <item x="610"/>
        <item x="207"/>
        <item x="611"/>
        <item x="333"/>
        <item x="208"/>
        <item x="612"/>
        <item x="209"/>
        <item x="613"/>
        <item x="332"/>
        <item x="210"/>
        <item x="614"/>
        <item x="211"/>
        <item x="615"/>
        <item x="331"/>
        <item x="616"/>
        <item x="212"/>
        <item x="617"/>
        <item x="330"/>
        <item x="213"/>
        <item x="618"/>
        <item x="214"/>
        <item x="619"/>
        <item x="215"/>
        <item x="329"/>
        <item x="620"/>
        <item x="216"/>
        <item x="217"/>
        <item x="621"/>
        <item x="218"/>
        <item x="622"/>
        <item x="883"/>
        <item x="884"/>
        <item x="885"/>
        <item x="3118"/>
        <item x="2183"/>
        <item x="2541"/>
        <item x="2844"/>
        <item x="2184"/>
        <item x="2185"/>
        <item x="2843"/>
        <item x="3119"/>
        <item x="2842"/>
        <item x="2186"/>
        <item x="2841"/>
        <item x="2542"/>
        <item x="2187"/>
        <item x="2188"/>
        <item x="3120"/>
        <item x="2840"/>
        <item x="2839"/>
        <item x="2189"/>
        <item x="2838"/>
        <item x="2543"/>
        <item x="886"/>
        <item x="887"/>
        <item x="888"/>
        <item x="2190"/>
        <item x="3121"/>
        <item x="2191"/>
        <item x="2837"/>
        <item x="2836"/>
        <item x="2192"/>
        <item x="2835"/>
        <item x="2193"/>
        <item x="2834"/>
        <item x="3122"/>
        <item x="2544"/>
        <item x="2833"/>
        <item x="2832"/>
        <item x="2194"/>
        <item x="2831"/>
        <item x="2195"/>
        <item x="2830"/>
        <item x="3123"/>
        <item x="2829"/>
        <item x="2545"/>
        <item x="2196"/>
        <item x="2828"/>
        <item x="2827"/>
        <item x="889"/>
        <item x="890"/>
        <item x="891"/>
        <item x="2826"/>
        <item x="2825"/>
        <item x="2824"/>
        <item x="2823"/>
        <item x="2822"/>
        <item x="2821"/>
        <item x="2197"/>
        <item x="2820"/>
        <item x="3124"/>
        <item x="2819"/>
        <item x="2818"/>
        <item x="2817"/>
        <item x="2816"/>
        <item x="2815"/>
        <item x="2814"/>
        <item x="2198"/>
        <item x="2813"/>
        <item x="2546"/>
        <item x="2812"/>
        <item x="3125"/>
        <item x="2811"/>
        <item x="2199"/>
        <item x="2810"/>
        <item x="2809"/>
        <item x="2200"/>
        <item x="3126"/>
        <item x="2808"/>
        <item x="2547"/>
        <item x="2201"/>
        <item x="2807"/>
        <item x="892"/>
        <item x="893"/>
        <item x="894"/>
        <item x="2202"/>
        <item x="2806"/>
        <item x="3127"/>
        <item x="2805"/>
        <item x="2203"/>
        <item x="2804"/>
        <item x="2548"/>
        <item x="2803"/>
        <item x="2802"/>
        <item x="2204"/>
        <item x="3128"/>
        <item x="2801"/>
        <item x="2800"/>
        <item x="2205"/>
        <item x="2799"/>
        <item x="2206"/>
        <item x="2549"/>
        <item x="2798"/>
        <item x="3129"/>
        <item x="2797"/>
        <item x="2207"/>
        <item x="895"/>
        <item x="896"/>
        <item x="2796"/>
        <item x="2208"/>
        <item x="3130"/>
        <item x="2550"/>
        <item x="2795"/>
        <item x="2794"/>
        <item x="2209"/>
        <item x="2793"/>
        <item x="3131"/>
        <item x="2210"/>
        <item x="2792"/>
        <item x="2551"/>
        <item x="3132"/>
        <item x="2791"/>
        <item x="2211"/>
        <item x="2790"/>
        <item x="897"/>
        <item x="898"/>
        <item x="899"/>
        <item x="2212"/>
        <item x="2552"/>
        <item x="3133"/>
        <item x="2789"/>
        <item x="2213"/>
        <item x="3134"/>
        <item x="2553"/>
        <item x="2788"/>
        <item x="2214"/>
        <item x="3135"/>
        <item x="2787"/>
        <item x="2215"/>
        <item x="2554"/>
        <item x="2786"/>
        <item x="3136"/>
        <item x="900"/>
        <item x="901"/>
        <item x="2216"/>
        <item x="2785"/>
        <item x="3137"/>
        <item x="2555"/>
        <item x="2784"/>
        <item x="2217"/>
        <item x="2783"/>
        <item x="3138"/>
        <item x="2218"/>
        <item x="2782"/>
        <item x="2556"/>
        <item x="2781"/>
        <item x="3139"/>
        <item x="902"/>
        <item x="903"/>
        <item x="904"/>
        <item x="2219"/>
        <item x="2780"/>
        <item x="2557"/>
        <item x="2779"/>
        <item x="2220"/>
        <item x="3140"/>
        <item x="2778"/>
        <item x="2558"/>
        <item x="2221"/>
        <item x="3141"/>
        <item x="2777"/>
        <item x="2222"/>
        <item x="2559"/>
        <item x="2776"/>
        <item x="3142"/>
        <item x="905"/>
        <item x="906"/>
        <item x="2775"/>
        <item x="2223"/>
        <item x="2560"/>
        <item x="3143"/>
        <item x="2774"/>
        <item x="2561"/>
        <item x="2773"/>
        <item x="2224"/>
        <item x="3144"/>
        <item x="2772"/>
        <item x="2562"/>
        <item x="2771"/>
        <item x="2225"/>
        <item x="3145"/>
        <item x="2770"/>
        <item x="907"/>
        <item x="908"/>
        <item x="909"/>
        <item x="2563"/>
        <item x="2769"/>
        <item x="2768"/>
        <item x="2767"/>
        <item x="2226"/>
        <item x="3146"/>
        <item x="2766"/>
        <item x="2564"/>
        <item x="2765"/>
        <item x="2764"/>
        <item x="2763"/>
        <item x="2762"/>
        <item x="2761"/>
        <item x="3147"/>
        <item x="2565"/>
        <item x="2227"/>
        <item x="2760"/>
        <item x="2759"/>
        <item x="2566"/>
        <item x="3376"/>
        <item x="2758"/>
        <item x="3375"/>
        <item x="3148"/>
        <item x="3377"/>
        <item x="2228"/>
        <item x="3374"/>
        <item x="3378"/>
        <item x="3379"/>
        <item x="3373"/>
        <item x="3372"/>
        <item x="3380"/>
        <item x="219"/>
        <item x="623"/>
        <item x="328"/>
        <item x="220"/>
        <item x="624"/>
        <item x="221"/>
        <item x="222"/>
        <item x="625"/>
        <item x="223"/>
        <item x="626"/>
        <item x="224"/>
        <item x="327"/>
        <item x="225"/>
        <item x="627"/>
        <item x="226"/>
        <item x="628"/>
        <item x="227"/>
        <item x="228"/>
        <item x="629"/>
        <item x="326"/>
        <item x="229"/>
        <item x="230"/>
        <item x="630"/>
        <item x="231"/>
        <item x="631"/>
        <item x="325"/>
        <item x="232"/>
        <item x="632"/>
        <item x="233"/>
        <item x="234"/>
        <item x="633"/>
        <item x="324"/>
        <item x="235"/>
        <item x="634"/>
        <item x="236"/>
        <item x="635"/>
        <item x="237"/>
        <item x="323"/>
        <item x="238"/>
        <item x="636"/>
        <item x="239"/>
        <item x="637"/>
        <item x="322"/>
        <item x="240"/>
        <item x="241"/>
        <item x="638"/>
        <item x="321"/>
        <item x="242"/>
        <item x="639"/>
        <item x="320"/>
        <item x="243"/>
        <item x="640"/>
        <item x="244"/>
        <item x="319"/>
        <item x="245"/>
        <item x="641"/>
        <item x="318"/>
        <item x="246"/>
        <item x="642"/>
        <item x="317"/>
        <item x="247"/>
        <item x="248"/>
        <item x="643"/>
        <item x="316"/>
        <item x="249"/>
        <item x="644"/>
        <item x="315"/>
        <item x="250"/>
        <item x="251"/>
        <item x="645"/>
        <item x="314"/>
        <item x="252"/>
        <item x="253"/>
        <item x="313"/>
        <item x="646"/>
        <item x="254"/>
        <item x="312"/>
        <item x="647"/>
        <item x="255"/>
        <item x="311"/>
        <item x="256"/>
        <item x="648"/>
        <item x="310"/>
        <item x="257"/>
        <item x="309"/>
        <item x="258"/>
        <item x="649"/>
        <item x="259"/>
        <item x="308"/>
        <item x="260"/>
        <item x="261"/>
        <item x="262"/>
        <item x="307"/>
        <item x="650"/>
        <item x="263"/>
        <item x="264"/>
        <item x="306"/>
        <item x="651"/>
        <item x="265"/>
        <item x="266"/>
        <item x="305"/>
        <item x="267"/>
        <item x="652"/>
        <item x="268"/>
        <item x="304"/>
        <item x="269"/>
        <item x="270"/>
        <item x="303"/>
        <item x="653"/>
        <item x="271"/>
        <item x="272"/>
        <item x="302"/>
        <item x="654"/>
        <item x="273"/>
        <item x="274"/>
        <item x="301"/>
        <item x="275"/>
        <item x="300"/>
        <item x="910"/>
        <item x="911"/>
        <item x="3371"/>
        <item x="3381"/>
        <item x="2757"/>
        <item x="3370"/>
        <item x="3382"/>
        <item x="3369"/>
        <item x="3383"/>
        <item x="3368"/>
        <item x="2567"/>
        <item x="3384"/>
        <item x="3149"/>
        <item x="2229"/>
        <item x="3367"/>
        <item x="2756"/>
        <item x="3366"/>
        <item x="3385"/>
        <item x="3365"/>
        <item x="3386"/>
        <item x="3364"/>
        <item x="3387"/>
        <item x="3363"/>
        <item x="2755"/>
        <item x="2568"/>
        <item x="3388"/>
        <item x="3362"/>
        <item x="3390"/>
        <item x="2230"/>
        <item x="3391"/>
        <item x="3389"/>
        <item x="3393"/>
        <item x="3392"/>
        <item x="3150"/>
        <item x="3394"/>
        <item x="3395"/>
        <item x="3403"/>
        <item x="3361"/>
        <item x="3402"/>
        <item x="3404"/>
        <item x="3396"/>
        <item x="3401"/>
        <item x="3405"/>
        <item x="3400"/>
        <item x="3397"/>
        <item x="3399"/>
        <item x="3398"/>
        <item x="3360"/>
        <item x="3406"/>
        <item x="3407"/>
        <item x="2754"/>
        <item x="3359"/>
        <item x="3408"/>
        <item x="2569"/>
        <item x="3409"/>
        <item x="3358"/>
        <item x="2231"/>
        <item x="3410"/>
        <item x="3151"/>
        <item x="3411"/>
        <item x="3357"/>
        <item x="3412"/>
        <item x="2753"/>
        <item x="3413"/>
        <item x="912"/>
        <item x="913"/>
        <item x="914"/>
        <item x="2570"/>
        <item x="3414"/>
        <item x="3356"/>
        <item x="2232"/>
        <item x="3415"/>
        <item x="3152"/>
        <item x="2752"/>
        <item x="3355"/>
        <item x="3416"/>
        <item x="3417"/>
        <item x="2571"/>
        <item x="3354"/>
        <item x="2233"/>
        <item x="2751"/>
        <item x="3418"/>
        <item x="3153"/>
        <item x="3353"/>
        <item x="3419"/>
        <item x="3352"/>
        <item x="2750"/>
        <item x="2572"/>
        <item x="2234"/>
        <item x="3420"/>
        <item x="3154"/>
        <item x="3351"/>
        <item x="3421"/>
        <item x="2749"/>
        <item x="3422"/>
        <item x="3350"/>
        <item x="915"/>
        <item x="916"/>
        <item x="3423"/>
        <item x="2573"/>
        <item x="3155"/>
        <item x="2235"/>
        <item x="3424"/>
        <item x="2748"/>
        <item x="3349"/>
        <item x="3425"/>
        <item x="3426"/>
        <item x="3348"/>
        <item x="2747"/>
        <item x="2236"/>
        <item x="3156"/>
        <item x="3427"/>
        <item x="5167"/>
        <item x="2574"/>
        <item x="3428"/>
        <item x="3347"/>
        <item x="5166"/>
        <item x="3429"/>
        <item x="2746"/>
        <item x="2237"/>
        <item x="3157"/>
        <item x="3430"/>
        <item x="5165"/>
        <item x="3346"/>
        <item x="3431"/>
        <item x="2575"/>
        <item x="5164"/>
        <item x="2238"/>
        <item x="3432"/>
        <item x="3345"/>
        <item x="2745"/>
        <item x="3158"/>
        <item x="917"/>
        <item x="918"/>
        <item x="3433"/>
        <item x="5163"/>
        <item x="3434"/>
        <item x="2239"/>
        <item x="3344"/>
        <item x="5162"/>
        <item x="3435"/>
        <item x="2744"/>
        <item x="3159"/>
        <item x="3436"/>
        <item x="2576"/>
        <item x="5161"/>
        <item x="3343"/>
        <item x="3437"/>
        <item x="2240"/>
        <item x="2743"/>
        <item x="5160"/>
        <item x="3160"/>
        <item x="3438"/>
        <item x="3342"/>
        <item x="3439"/>
        <item x="5159"/>
        <item x="2742"/>
        <item x="2241"/>
        <item x="3161"/>
        <item x="3440"/>
        <item x="5158"/>
        <item x="3341"/>
        <item x="2577"/>
        <item x="4742"/>
        <item x="3441"/>
        <item x="2741"/>
        <item x="4743"/>
        <item x="5157"/>
        <item x="3442"/>
        <item x="3162"/>
        <item x="3340"/>
        <item x="2242"/>
        <item x="4744"/>
        <item x="3443"/>
        <item x="919"/>
        <item x="920"/>
        <item x="921"/>
        <item x="5156"/>
        <item x="3163"/>
        <item x="3444"/>
        <item x="4745"/>
        <item x="3339"/>
        <item x="2243"/>
        <item x="2578"/>
        <item x="2740"/>
        <item x="5155"/>
        <item x="3445"/>
        <item x="4746"/>
        <item x="3164"/>
        <item x="3446"/>
        <item x="2244"/>
        <item x="3338"/>
        <item x="4747"/>
        <item x="5154"/>
        <item x="2245"/>
        <item x="3447"/>
        <item x="2739"/>
        <item x="2579"/>
        <item x="4748"/>
        <item x="3448"/>
        <item x="3165"/>
        <item x="3337"/>
        <item x="5153"/>
        <item x="3449"/>
        <item x="4749"/>
        <item x="2246"/>
        <item x="3450"/>
        <item x="4750"/>
        <item x="3166"/>
        <item x="5152"/>
        <item x="3336"/>
        <item x="2738"/>
        <item x="3451"/>
        <item x="2247"/>
        <item x="2580"/>
        <item x="4751"/>
        <item x="3452"/>
        <item x="3335"/>
        <item x="3167"/>
        <item x="5151"/>
        <item x="3453"/>
        <item x="922"/>
        <item x="923"/>
        <item x="2248"/>
        <item x="4752"/>
        <item x="3454"/>
        <item x="2737"/>
        <item x="3334"/>
        <item x="2581"/>
        <item x="3168"/>
        <item x="3455"/>
        <item x="4753"/>
        <item x="5150"/>
        <item x="2249"/>
        <item x="3456"/>
        <item x="3457"/>
        <item x="2736"/>
        <item x="4754"/>
        <item x="3333"/>
        <item x="3169"/>
        <item x="5149"/>
        <item x="2250"/>
        <item x="3458"/>
        <item x="2582"/>
        <item x="4755"/>
        <item x="3459"/>
        <item x="3170"/>
        <item x="3332"/>
        <item x="2251"/>
        <item x="5148"/>
        <item x="3460"/>
        <item x="2735"/>
        <item x="4756"/>
        <item x="3461"/>
        <item x="3171"/>
        <item x="2583"/>
        <item x="4757"/>
        <item x="3331"/>
        <item x="3462"/>
        <item x="5147"/>
        <item x="2252"/>
        <item x="4758"/>
        <item x="3463"/>
        <item x="3172"/>
        <item x="2734"/>
        <item x="3464"/>
        <item x="924"/>
        <item x="925"/>
        <item x="3330"/>
        <item x="4759"/>
        <item x="5146"/>
        <item x="2253"/>
        <item x="3465"/>
        <item x="2584"/>
        <item x="4760"/>
        <item x="3173"/>
        <item x="3329"/>
        <item x="3466"/>
        <item x="4761"/>
        <item x="5145"/>
        <item x="2733"/>
        <item x="3174"/>
        <item x="4762"/>
        <item x="2254"/>
        <item x="3467"/>
        <item x="2585"/>
        <item x="3328"/>
        <item x="4763"/>
        <item x="5144"/>
        <item x="3468"/>
        <item x="2255"/>
        <item x="3175"/>
        <item x="4764"/>
        <item x="3327"/>
        <item x="3469"/>
        <item x="5143"/>
        <item x="4765"/>
        <item x="2732"/>
        <item x="2586"/>
        <item x="3326"/>
        <item x="4766"/>
        <item x="3176"/>
        <item x="3470"/>
        <item x="2256"/>
        <item x="4767"/>
        <item x="3325"/>
        <item x="5142"/>
        <item x="4768"/>
        <item x="3471"/>
        <item x="926"/>
        <item x="927"/>
        <item x="928"/>
        <item x="3324"/>
        <item x="3177"/>
        <item x="4769"/>
        <item x="3472"/>
        <item x="3323"/>
        <item x="5141"/>
        <item x="2587"/>
        <item x="4770"/>
        <item x="2731"/>
        <item x="2257"/>
        <item x="3322"/>
        <item x="3473"/>
        <item x="3178"/>
        <item x="4771"/>
        <item x="3321"/>
        <item x="5140"/>
        <item x="3320"/>
        <item x="3474"/>
        <item x="4772"/>
        <item x="3319"/>
        <item x="3179"/>
        <item x="4773"/>
        <item x="2258"/>
        <item x="3318"/>
        <item x="5139"/>
        <item x="3475"/>
        <item x="2588"/>
        <item x="3317"/>
        <item x="4774"/>
        <item x="2730"/>
        <item x="3316"/>
        <item x="3476"/>
        <item x="4775"/>
        <item x="3180"/>
        <item x="5138"/>
        <item x="4776"/>
        <item x="3315"/>
        <item x="2259"/>
        <item x="3477"/>
        <item x="5137"/>
        <item x="4777"/>
        <item x="2589"/>
        <item x="3181"/>
        <item x="3314"/>
        <item x="2729"/>
        <item x="3478"/>
        <item x="4778"/>
        <item x="929"/>
        <item x="930"/>
        <item x="2260"/>
        <item x="3313"/>
        <item x="5136"/>
        <item x="3182"/>
        <item x="4779"/>
        <item x="3479"/>
        <item x="3312"/>
        <item x="4780"/>
        <item x="3183"/>
        <item x="2590"/>
        <item x="5135"/>
        <item x="3311"/>
        <item x="3480"/>
        <item x="2728"/>
        <item x="4781"/>
        <item x="3184"/>
        <item x="3310"/>
        <item x="2261"/>
        <item x="3481"/>
        <item x="5134"/>
        <item x="3309"/>
        <item x="4782"/>
        <item x="3185"/>
        <item x="2591"/>
        <item x="3308"/>
        <item x="3482"/>
        <item x="2727"/>
        <item x="5133"/>
        <item x="4783"/>
        <item x="3295"/>
        <item x="3297"/>
        <item x="3298"/>
        <item x="3307"/>
        <item x="3294"/>
        <item x="3296"/>
        <item x="3186"/>
        <item x="2262"/>
        <item x="3299"/>
        <item x="3293"/>
        <item x="3306"/>
        <item x="3300"/>
        <item x="3483"/>
        <item x="3292"/>
        <item x="3305"/>
        <item x="3301"/>
        <item x="3304"/>
        <item x="3302"/>
        <item x="4784"/>
        <item x="3303"/>
        <item x="3291"/>
        <item x="3187"/>
        <item x="5132"/>
        <item x="2592"/>
        <item x="3290"/>
        <item x="3484"/>
        <item x="3289"/>
        <item x="3288"/>
        <item x="2726"/>
        <item x="3188"/>
        <item x="4785"/>
        <item x="931"/>
        <item x="932"/>
        <item x="2263"/>
        <item x="3287"/>
        <item x="3485"/>
        <item x="3286"/>
        <item x="3189"/>
        <item x="5131"/>
        <item x="3285"/>
        <item x="4786"/>
        <item x="3486"/>
        <item x="2593"/>
        <item x="3284"/>
        <item x="2725"/>
        <item x="3190"/>
        <item x="2264"/>
        <item x="4787"/>
        <item x="3487"/>
        <item x="5130"/>
        <item x="3283"/>
        <item x="2594"/>
        <item x="3488"/>
        <item x="4788"/>
        <item x="3191"/>
        <item x="3282"/>
        <item x="2724"/>
        <item x="3489"/>
        <item x="5129"/>
        <item x="2265"/>
        <item x="4789"/>
        <item x="3490"/>
        <item x="2595"/>
        <item x="3192"/>
        <item x="3281"/>
        <item x="3491"/>
        <item x="2266"/>
        <item x="4790"/>
        <item x="5128"/>
        <item x="3492"/>
        <item x="3193"/>
        <item x="2723"/>
        <item x="3280"/>
        <item x="2596"/>
        <item x="4791"/>
        <item x="655"/>
        <item x="276"/>
        <item x="277"/>
        <item x="299"/>
        <item x="278"/>
        <item x="298"/>
        <item x="279"/>
        <item x="297"/>
        <item x="656"/>
        <item x="296"/>
        <item x="280"/>
        <item x="295"/>
        <item x="281"/>
        <item x="294"/>
        <item x="282"/>
        <item x="293"/>
        <item x="283"/>
        <item x="292"/>
        <item x="291"/>
        <item x="657"/>
        <item x="284"/>
        <item x="290"/>
        <item x="285"/>
        <item x="289"/>
        <item x="286"/>
        <item x="288"/>
        <item x="28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933"/>
        <item x="934"/>
        <item x="3493"/>
        <item x="5127"/>
        <item x="2267"/>
        <item x="3494"/>
        <item x="3279"/>
        <item x="4792"/>
        <item x="3194"/>
        <item x="3495"/>
        <item x="2597"/>
        <item x="3496"/>
        <item x="3278"/>
        <item x="4793"/>
        <item x="2722"/>
        <item x="5126"/>
        <item x="3497"/>
        <item x="3195"/>
        <item x="3277"/>
        <item x="4794"/>
        <item x="2268"/>
        <item x="3498"/>
        <item x="2598"/>
        <item x="3499"/>
        <item x="3276"/>
        <item x="4795"/>
        <item x="3196"/>
        <item x="3500"/>
        <item x="5125"/>
        <item x="3501"/>
        <item x="3275"/>
        <item x="4796"/>
        <item x="2599"/>
        <item x="3502"/>
        <item x="2269"/>
        <item x="3197"/>
        <item x="3503"/>
        <item x="2721"/>
        <item x="3274"/>
        <item x="3504"/>
        <item x="5124"/>
        <item x="3505"/>
        <item x="4797"/>
        <item x="3506"/>
        <item x="3507"/>
        <item x="3273"/>
        <item x="2600"/>
        <item x="3508"/>
        <item x="3509"/>
        <item x="3510"/>
        <item x="3198"/>
        <item x="3511"/>
        <item x="3272"/>
        <item x="4798"/>
        <item x="935"/>
        <item x="936"/>
        <item x="2270"/>
        <item x="3512"/>
        <item x="5123"/>
        <item x="2601"/>
        <item x="3513"/>
        <item x="3271"/>
        <item x="3199"/>
        <item x="3514"/>
        <item x="4799"/>
        <item x="2720"/>
        <item x="2602"/>
        <item x="3515"/>
        <item x="3270"/>
        <item x="5122"/>
        <item x="2271"/>
        <item x="3200"/>
        <item x="4800"/>
        <item x="3516"/>
        <item x="2603"/>
        <item x="3269"/>
        <item x="3517"/>
        <item x="5121"/>
        <item x="3201"/>
        <item x="4801"/>
        <item x="2604"/>
        <item x="3518"/>
        <item x="2719"/>
        <item x="3268"/>
        <item x="2272"/>
        <item x="3519"/>
        <item x="4802"/>
        <item x="5120"/>
        <item x="3202"/>
        <item x="2605"/>
        <item x="3520"/>
        <item x="3267"/>
        <item x="3521"/>
        <item x="4803"/>
        <item x="3203"/>
        <item x="5119"/>
        <item x="3522"/>
        <item x="2718"/>
        <item x="2606"/>
        <item x="937"/>
        <item x="938"/>
        <item x="2273"/>
        <item x="3266"/>
        <item x="3523"/>
        <item x="4804"/>
        <item x="3204"/>
        <item x="3524"/>
        <item x="3265"/>
        <item x="5118"/>
        <item x="2607"/>
        <item x="3205"/>
        <item x="4805"/>
        <item x="3525"/>
        <item x="2274"/>
        <item x="3264"/>
        <item x="5117"/>
        <item x="2717"/>
        <item x="2608"/>
        <item x="3526"/>
        <item x="3263"/>
        <item x="3206"/>
        <item x="4806"/>
        <item x="3262"/>
        <item x="3527"/>
        <item x="5116"/>
        <item x="4807"/>
        <item x="2275"/>
        <item x="3261"/>
        <item x="3207"/>
        <item x="2609"/>
        <item x="3260"/>
        <item x="4808"/>
        <item x="2716"/>
        <item x="3259"/>
        <item x="5115"/>
        <item x="3208"/>
        <item x="3528"/>
        <item x="2610"/>
        <item x="3258"/>
        <item x="2276"/>
        <item x="4809"/>
        <item x="3209"/>
        <item x="3257"/>
        <item x="5114"/>
        <item x="939"/>
        <item x="940"/>
        <item x="2611"/>
        <item x="3256"/>
        <item x="3529"/>
        <item x="3255"/>
        <item x="4810"/>
        <item x="3210"/>
        <item x="3254"/>
        <item x="3253"/>
        <item x="5113"/>
        <item x="3252"/>
        <item x="2612"/>
        <item x="3251"/>
        <item x="2715"/>
        <item x="3250"/>
        <item x="3211"/>
        <item x="3249"/>
        <item x="2277"/>
        <item x="3248"/>
        <item x="4811"/>
        <item x="3247"/>
        <item x="3530"/>
        <item x="3246"/>
        <item x="2613"/>
        <item x="5112"/>
        <item x="3245"/>
        <item x="3212"/>
        <item x="3244"/>
        <item x="4812"/>
        <item x="2614"/>
        <item x="3243"/>
        <item x="5111"/>
        <item x="3213"/>
        <item x="2278"/>
        <item x="3531"/>
        <item x="3242"/>
        <item x="2615"/>
        <item x="3241"/>
        <item x="3214"/>
        <item x="4813"/>
        <item x="5110"/>
        <item x="2714"/>
        <item x="3240"/>
        <item x="2616"/>
        <item x="3215"/>
        <item x="3239"/>
        <item x="3532"/>
        <item x="4814"/>
        <item x="5109"/>
        <item x="3216"/>
        <item x="3238"/>
        <item x="2617"/>
        <item x="941"/>
        <item x="942"/>
        <item x="2279"/>
        <item x="3237"/>
        <item x="3217"/>
        <item x="3236"/>
        <item x="4815"/>
        <item x="3218"/>
        <item x="3235"/>
        <item x="5108"/>
        <item x="2618"/>
        <item x="3234"/>
        <item x="3233"/>
        <item x="3533"/>
        <item x="3232"/>
        <item x="3219"/>
        <item x="3231"/>
        <item x="3230"/>
        <item x="3220"/>
        <item x="3229"/>
        <item x="3227"/>
        <item x="3228"/>
        <item x="4816"/>
        <item x="3221"/>
        <item x="3226"/>
        <item x="3222"/>
        <item x="3223"/>
        <item x="3225"/>
        <item x="2280"/>
        <item x="3224"/>
        <item x="5107"/>
        <item x="2619"/>
        <item x="2713"/>
        <item x="4817"/>
        <item x="3534"/>
        <item x="2620"/>
        <item x="5106"/>
        <item x="4818"/>
        <item x="2621"/>
        <item x="4819"/>
        <item x="3535"/>
        <item x="2281"/>
        <item x="5105"/>
        <item x="4820"/>
        <item x="2622"/>
        <item x="4821"/>
        <item x="3536"/>
        <item x="4822"/>
        <item x="2623"/>
        <item x="2712"/>
        <item x="5104"/>
        <item x="4823"/>
        <item x="943"/>
        <item x="944"/>
        <item x="2282"/>
        <item x="4824"/>
        <item x="2624"/>
        <item x="3537"/>
        <item x="4825"/>
        <item x="5103"/>
        <item x="4826"/>
        <item x="2625"/>
        <item x="4827"/>
        <item x="4828"/>
        <item x="3538"/>
        <item x="4829"/>
        <item x="5102"/>
        <item x="2626"/>
        <item x="2283"/>
        <item x="4830"/>
        <item x="4831"/>
        <item x="4832"/>
        <item x="2627"/>
        <item x="4833"/>
        <item x="2711"/>
        <item x="3539"/>
        <item x="5101"/>
        <item x="4834"/>
        <item x="4835"/>
        <item x="4836"/>
        <item x="2628"/>
        <item x="4837"/>
        <item x="2284"/>
        <item x="4838"/>
        <item x="3540"/>
        <item x="5100"/>
        <item x="4839"/>
        <item x="4840"/>
        <item x="4841"/>
        <item x="2629"/>
        <item x="4843"/>
        <item x="4842"/>
        <item x="4844"/>
        <item x="945"/>
        <item x="946"/>
        <item x="4845"/>
        <item x="3541"/>
        <item x="4846"/>
        <item x="5099"/>
        <item x="4847"/>
        <item x="2710"/>
        <item x="2630"/>
        <item x="4848"/>
        <item x="4849"/>
        <item x="4850"/>
        <item x="4851"/>
        <item x="3542"/>
        <item x="2285"/>
        <item x="5098"/>
        <item x="4852"/>
        <item x="4853"/>
        <item x="2631"/>
        <item x="4854"/>
        <item x="4855"/>
        <item x="4856"/>
        <item x="4857"/>
        <item x="4858"/>
        <item x="3543"/>
        <item x="5097"/>
        <item x="4859"/>
        <item x="2632"/>
        <item x="4860"/>
        <item x="2709"/>
        <item x="2286"/>
        <item x="4861"/>
        <item x="2633"/>
        <item x="5096"/>
        <item x="3544"/>
        <item x="4862"/>
        <item x="2634"/>
        <item x="4863"/>
        <item x="947"/>
        <item x="948"/>
        <item x="5095"/>
        <item x="3545"/>
        <item x="4864"/>
        <item x="2635"/>
        <item x="4865"/>
        <item x="2287"/>
        <item x="2708"/>
        <item x="5094"/>
        <item x="4866"/>
        <item x="3546"/>
        <item x="2636"/>
        <item x="4867"/>
        <item x="4868"/>
        <item x="3547"/>
        <item x="5093"/>
        <item x="2637"/>
        <item x="4869"/>
        <item x="2707"/>
        <item x="2288"/>
        <item x="4870"/>
        <item x="2638"/>
        <item x="3548"/>
        <item x="5092"/>
        <item x="4871"/>
        <item x="949"/>
        <item x="950"/>
        <item x="4872"/>
        <item x="2639"/>
        <item x="3549"/>
        <item x="5091"/>
        <item x="4873"/>
        <item x="2289"/>
        <item x="4874"/>
        <item x="2706"/>
        <item x="2640"/>
        <item x="4875"/>
        <item x="3550"/>
        <item x="5090"/>
        <item x="4876"/>
        <item x="4877"/>
        <item x="2641"/>
        <item x="3551"/>
        <item x="5089"/>
        <item x="4878"/>
        <item x="2290"/>
        <item x="2642"/>
        <item x="4879"/>
        <item x="2705"/>
        <item x="4880"/>
        <item x="5088"/>
        <item x="3552"/>
        <item x="2643"/>
        <item x="4881"/>
        <item x="951"/>
        <item x="952"/>
        <item x="4882"/>
        <item x="5087"/>
        <item x="2704"/>
        <item x="4883"/>
        <item x="3553"/>
        <item x="2644"/>
        <item x="2291"/>
        <item x="4884"/>
        <item x="4885"/>
        <item x="5086"/>
        <item x="4886"/>
        <item x="2645"/>
        <item x="4887"/>
        <item x="3554"/>
        <item x="4888"/>
        <item x="4889"/>
        <item x="5085"/>
        <item x="2703"/>
        <item x="2646"/>
        <item x="4890"/>
        <item x="4891"/>
        <item x="3555"/>
        <item x="4892"/>
        <item x="2647"/>
        <item x="2292"/>
        <item x="5084"/>
        <item x="4893"/>
        <item x="4894"/>
        <item x="2648"/>
        <item t="default"/>
      </items>
    </pivotField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20">
        <item h="1" x="0"/>
        <item h="1" x="1"/>
        <item h="1" x="2"/>
        <item h="1" x="3"/>
        <item h="1" x="4"/>
        <item h="1" x="5"/>
        <item h="1" x="6"/>
        <item h="1" x="7"/>
        <item x="8"/>
        <item x="9"/>
        <item x="10"/>
        <item x="11"/>
        <item x="12"/>
        <item x="13"/>
        <item x="14"/>
        <item x="15"/>
        <item x="16"/>
        <item x="17"/>
        <item h="1" x="18"/>
        <item t="default"/>
      </items>
    </pivotField>
  </pivotFields>
  <rowFields count="2">
    <field x="5"/>
    <field x="3"/>
  </rowFields>
  <rowItems count="124">
    <i>
      <x v="8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9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0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7"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Average of Price" fld="1" subtotal="average" baseField="5" baseItem="4"/>
  </dataFields>
  <chartFormats count="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8FE6A4A-8DF6-4B9A-9379-0E56CD9ABCE7}" autoFormatId="16" applyNumberFormats="0" applyBorderFormats="0" applyFontFormats="0" applyPatternFormats="0" applyAlignmentFormats="0" applyWidthHeightFormats="0">
  <queryTableRefresh nextId="4">
    <queryTableFields count="3">
      <queryTableField id="1" name="DateTime" tableColumnId="1"/>
      <queryTableField id="2" name="Price" tableColumnId="2"/>
      <queryTableField id="3" name="SMA (200)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661FE8-046D-4537-B076-69D92BE85B9D}" name="BitcoinVisuals_com_chart" displayName="BitcoinVisuals_com_chart" ref="A1:C5765" tableType="queryTable" totalsRowShown="0">
  <autoFilter ref="A1:C5765" xr:uid="{B9661FE8-046D-4537-B076-69D92BE85B9D}"/>
  <tableColumns count="3">
    <tableColumn id="1" xr3:uid="{62271882-EA1A-4C3E-A141-86F8E245BF60}" uniqueName="1" name="DateTime" queryTableFieldId="1" dataDxfId="1"/>
    <tableColumn id="2" xr3:uid="{BEC6E8B6-97CC-4C26-9234-188D4CBEB4E0}" uniqueName="2" name="Price" queryTableFieldId="2"/>
    <tableColumn id="3" xr3:uid="{F72EE63E-78A6-4A5F-B2CF-21229BED5212}" uniqueName="3" name="SMA (200)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5-09-12T08:16:24.09" personId="{5417EF0E-9F23-40B8-B8F0-E09BA0B8B0E2}" id="{35A352ED-F9DE-4E54-9DC8-DFC4A104E91D}">
    <text>به میزان 21% هزینه های کل یعنی بخش Construction</text>
  </threadedComment>
  <threadedComment ref="C5" dT="2025-09-12T08:17:34.28" personId="{5417EF0E-9F23-40B8-B8F0-E09BA0B8B0E2}" id="{CB7E8E0E-906B-4C0A-BDB6-500E9C1FA0AD}">
    <text>به میزان 72 % هزینه های کل یعنی بخش Procurement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Relationship Id="rId4" Type="http://schemas.microsoft.com/office/2017/10/relationships/threadedComment" Target="../threadedComments/threadedComment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9378-F3DE-4584-9DFB-F90A0F3B6078}">
  <sheetPr>
    <tabColor theme="3" tint="0.79998168889431442"/>
  </sheetPr>
  <dimension ref="B1:L54"/>
  <sheetViews>
    <sheetView showGridLines="0" rightToLeft="1" topLeftCell="A10" zoomScale="120" zoomScaleNormal="120" zoomScaleSheetLayoutView="100" workbookViewId="0">
      <selection activeCell="C57" sqref="C57"/>
    </sheetView>
  </sheetViews>
  <sheetFormatPr defaultColWidth="10.23046875" defaultRowHeight="18.45" x14ac:dyDescent="0.75"/>
  <cols>
    <col min="1" max="1" width="3.53515625" style="23" customWidth="1"/>
    <col min="2" max="2" width="21.765625" style="23" bestFit="1" customWidth="1"/>
    <col min="3" max="3" width="30.765625" style="23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1" spans="2:10" ht="20.149999999999999" thickBot="1" x14ac:dyDescent="0.9">
      <c r="B1" s="32"/>
      <c r="C1" s="32"/>
      <c r="D1" s="32"/>
      <c r="E1" s="24"/>
      <c r="I1" s="33"/>
      <c r="J1" s="33"/>
    </row>
    <row r="2" spans="2:10" ht="19.75" x14ac:dyDescent="0.85">
      <c r="B2" s="594" t="s">
        <v>594</v>
      </c>
      <c r="C2" s="595"/>
      <c r="D2" s="595"/>
      <c r="E2" s="596"/>
      <c r="I2" s="33"/>
      <c r="J2" s="33"/>
    </row>
    <row r="3" spans="2:10" ht="19.75" x14ac:dyDescent="0.85">
      <c r="B3" s="101" t="s">
        <v>125</v>
      </c>
      <c r="C3" s="77" t="s">
        <v>38</v>
      </c>
      <c r="D3" s="77" t="s">
        <v>126</v>
      </c>
      <c r="E3" s="102" t="s">
        <v>128</v>
      </c>
      <c r="G3" s="26"/>
      <c r="H3" s="34"/>
      <c r="I3" s="31"/>
      <c r="J3" s="31"/>
    </row>
    <row r="4" spans="2:10" ht="19.75" x14ac:dyDescent="0.75">
      <c r="B4" s="223" t="s">
        <v>138</v>
      </c>
      <c r="C4" s="149" t="s">
        <v>0</v>
      </c>
      <c r="D4" s="149" t="s">
        <v>403</v>
      </c>
      <c r="E4" s="152" t="s">
        <v>0</v>
      </c>
      <c r="G4" s="26"/>
      <c r="H4" s="34"/>
      <c r="I4" s="31"/>
      <c r="J4" s="31"/>
    </row>
    <row r="5" spans="2:10" ht="19.75" x14ac:dyDescent="0.75">
      <c r="B5" s="237" t="s">
        <v>408</v>
      </c>
      <c r="C5" s="241" t="s">
        <v>112</v>
      </c>
      <c r="D5" s="241">
        <f>SUM(D6:D8)</f>
        <v>15</v>
      </c>
      <c r="E5" s="396"/>
      <c r="G5" s="26"/>
      <c r="H5" s="34"/>
      <c r="I5" s="31"/>
      <c r="J5" s="31"/>
    </row>
    <row r="6" spans="2:10" ht="19.75" x14ac:dyDescent="0.75">
      <c r="B6" s="223" t="s">
        <v>214</v>
      </c>
      <c r="C6" s="149" t="s">
        <v>590</v>
      </c>
      <c r="D6" s="149">
        <v>1</v>
      </c>
      <c r="E6" s="152" t="s">
        <v>591</v>
      </c>
      <c r="G6" s="26"/>
      <c r="H6" s="34"/>
      <c r="I6" s="31"/>
      <c r="J6" s="31"/>
    </row>
    <row r="7" spans="2:10" ht="19.75" x14ac:dyDescent="0.75">
      <c r="B7" s="223" t="s">
        <v>404</v>
      </c>
      <c r="C7" s="149" t="s">
        <v>112</v>
      </c>
      <c r="D7" s="149">
        <v>4</v>
      </c>
      <c r="E7" s="152" t="s">
        <v>407</v>
      </c>
      <c r="G7" s="26"/>
      <c r="H7" s="34"/>
      <c r="I7" s="31"/>
      <c r="J7" s="31"/>
    </row>
    <row r="8" spans="2:10" ht="20.149999999999999" thickBot="1" x14ac:dyDescent="0.8">
      <c r="B8" s="227" t="s">
        <v>405</v>
      </c>
      <c r="C8" s="153" t="s">
        <v>112</v>
      </c>
      <c r="D8" s="153">
        <v>10</v>
      </c>
      <c r="E8" s="346" t="s">
        <v>406</v>
      </c>
      <c r="G8" s="26"/>
      <c r="H8" s="34"/>
      <c r="I8" s="31"/>
      <c r="J8" s="31"/>
    </row>
    <row r="9" spans="2:10" ht="19.75" x14ac:dyDescent="0.75">
      <c r="G9" s="26"/>
      <c r="H9" s="34"/>
      <c r="I9" s="31"/>
      <c r="J9" s="31"/>
    </row>
    <row r="10" spans="2:10" ht="20.149999999999999" thickBot="1" x14ac:dyDescent="0.8">
      <c r="G10" s="26"/>
      <c r="H10" s="34"/>
      <c r="I10" s="31"/>
      <c r="J10" s="31"/>
    </row>
    <row r="11" spans="2:10" ht="19.75" x14ac:dyDescent="0.85">
      <c r="B11" s="594" t="s">
        <v>5874</v>
      </c>
      <c r="C11" s="595"/>
      <c r="D11" s="595"/>
      <c r="E11" s="596"/>
      <c r="G11" s="26"/>
      <c r="H11" s="34"/>
      <c r="I11" s="31"/>
      <c r="J11" s="31"/>
    </row>
    <row r="12" spans="2:10" ht="19.75" x14ac:dyDescent="0.85">
      <c r="B12" s="101" t="s">
        <v>125</v>
      </c>
      <c r="C12" s="77" t="s">
        <v>38</v>
      </c>
      <c r="D12" s="77" t="s">
        <v>126</v>
      </c>
      <c r="E12" s="102" t="s">
        <v>128</v>
      </c>
      <c r="G12" s="26"/>
      <c r="H12" s="34"/>
      <c r="I12" s="31"/>
      <c r="J12" s="31"/>
    </row>
    <row r="13" spans="2:10" x14ac:dyDescent="0.75">
      <c r="B13" s="223" t="s">
        <v>595</v>
      </c>
      <c r="C13" s="149" t="s">
        <v>112</v>
      </c>
      <c r="D13" s="149">
        <v>2</v>
      </c>
      <c r="E13" s="225" t="s">
        <v>598</v>
      </c>
    </row>
    <row r="14" spans="2:10" x14ac:dyDescent="0.75">
      <c r="B14" s="223" t="s">
        <v>596</v>
      </c>
      <c r="C14" s="149" t="s">
        <v>112</v>
      </c>
      <c r="D14" s="149">
        <v>4</v>
      </c>
      <c r="E14" s="225" t="s">
        <v>547</v>
      </c>
    </row>
    <row r="15" spans="2:10" x14ac:dyDescent="0.75">
      <c r="B15" s="223" t="s">
        <v>597</v>
      </c>
      <c r="C15" s="149" t="s">
        <v>112</v>
      </c>
      <c r="D15" s="149">
        <v>4</v>
      </c>
      <c r="E15" s="225" t="s">
        <v>548</v>
      </c>
    </row>
    <row r="16" spans="2:10" ht="18.899999999999999" thickBot="1" x14ac:dyDescent="0.8">
      <c r="B16" s="227" t="s">
        <v>599</v>
      </c>
      <c r="C16" s="153" t="s">
        <v>112</v>
      </c>
      <c r="D16" s="153">
        <v>4</v>
      </c>
      <c r="E16" s="229" t="s">
        <v>549</v>
      </c>
    </row>
    <row r="17" spans="2:12" x14ac:dyDescent="0.75">
      <c r="E17" s="414"/>
    </row>
    <row r="18" spans="2:12" ht="18.899999999999999" thickBot="1" x14ac:dyDescent="0.8"/>
    <row r="19" spans="2:12" ht="19.75" x14ac:dyDescent="0.85">
      <c r="B19" s="594" t="s">
        <v>194</v>
      </c>
      <c r="C19" s="595"/>
      <c r="D19" s="595"/>
      <c r="E19" s="596"/>
    </row>
    <row r="20" spans="2:12" ht="19.75" x14ac:dyDescent="0.85">
      <c r="B20" s="101" t="s">
        <v>125</v>
      </c>
      <c r="C20" s="77" t="s">
        <v>38</v>
      </c>
      <c r="D20" s="77" t="s">
        <v>126</v>
      </c>
      <c r="E20" s="102" t="s">
        <v>128</v>
      </c>
    </row>
    <row r="21" spans="2:12" x14ac:dyDescent="0.75">
      <c r="B21" s="223" t="s">
        <v>5953</v>
      </c>
      <c r="C21" s="149" t="s">
        <v>267</v>
      </c>
      <c r="D21" s="363">
        <v>0.7</v>
      </c>
      <c r="E21" s="152"/>
    </row>
    <row r="22" spans="2:12" x14ac:dyDescent="0.75">
      <c r="B22" s="223" t="s">
        <v>5954</v>
      </c>
      <c r="C22" s="149" t="s">
        <v>267</v>
      </c>
      <c r="D22" s="363">
        <v>3</v>
      </c>
      <c r="E22" s="152"/>
    </row>
    <row r="23" spans="2:12" x14ac:dyDescent="0.75">
      <c r="B23" s="223" t="s">
        <v>468</v>
      </c>
      <c r="C23" s="149" t="s">
        <v>93</v>
      </c>
      <c r="D23" s="343">
        <f>$D$21/SUM($D$21:$D$22)</f>
        <v>0.18918918918918917</v>
      </c>
      <c r="E23" s="152" t="s">
        <v>507</v>
      </c>
    </row>
    <row r="24" spans="2:12" ht="18.899999999999999" thickBot="1" x14ac:dyDescent="0.8">
      <c r="B24" s="227" t="s">
        <v>195</v>
      </c>
      <c r="C24" s="153" t="s">
        <v>189</v>
      </c>
      <c r="D24" s="362">
        <v>0.52300000000000002</v>
      </c>
      <c r="E24" s="346"/>
    </row>
    <row r="26" spans="2:12" ht="18.899999999999999" thickBot="1" x14ac:dyDescent="0.8">
      <c r="L26" s="35"/>
    </row>
    <row r="27" spans="2:12" ht="19.75" x14ac:dyDescent="0.85">
      <c r="B27" s="594" t="s">
        <v>132</v>
      </c>
      <c r="C27" s="595"/>
      <c r="D27" s="595"/>
      <c r="E27" s="596"/>
    </row>
    <row r="28" spans="2:12" ht="19.75" x14ac:dyDescent="0.85">
      <c r="B28" s="101" t="s">
        <v>125</v>
      </c>
      <c r="C28" s="77" t="s">
        <v>38</v>
      </c>
      <c r="D28" s="77" t="s">
        <v>126</v>
      </c>
      <c r="E28" s="102" t="s">
        <v>128</v>
      </c>
    </row>
    <row r="29" spans="2:12" x14ac:dyDescent="0.75">
      <c r="B29" s="223" t="s">
        <v>133</v>
      </c>
      <c r="C29" s="149" t="s">
        <v>41</v>
      </c>
      <c r="D29" s="149">
        <v>330</v>
      </c>
      <c r="E29" s="152" t="s">
        <v>0</v>
      </c>
    </row>
    <row r="30" spans="2:12" x14ac:dyDescent="0.75">
      <c r="B30" s="223" t="s">
        <v>26</v>
      </c>
      <c r="C30" s="149" t="s">
        <v>137</v>
      </c>
      <c r="D30" s="230">
        <f>D31*'تبديل واحد و اعداد ثابت'!$D$7</f>
        <v>7920</v>
      </c>
      <c r="E30" s="152" t="s">
        <v>0</v>
      </c>
    </row>
    <row r="31" spans="2:12" ht="18.899999999999999" thickBot="1" x14ac:dyDescent="0.8">
      <c r="B31" s="227" t="s">
        <v>134</v>
      </c>
      <c r="C31" s="153" t="s">
        <v>93</v>
      </c>
      <c r="D31" s="364">
        <f>D29/'تبديل واحد و اعداد ثابت'!$D$4</f>
        <v>0.90410958904109584</v>
      </c>
      <c r="E31" s="346" t="s">
        <v>0</v>
      </c>
    </row>
    <row r="33" spans="2:5" ht="18.899999999999999" thickBot="1" x14ac:dyDescent="0.8"/>
    <row r="34" spans="2:5" ht="19.75" x14ac:dyDescent="0.85">
      <c r="B34" s="594" t="s">
        <v>243</v>
      </c>
      <c r="C34" s="595"/>
      <c r="D34" s="595"/>
      <c r="E34" s="596"/>
    </row>
    <row r="35" spans="2:5" ht="19.75" x14ac:dyDescent="0.85">
      <c r="B35" s="101" t="s">
        <v>125</v>
      </c>
      <c r="C35" s="77" t="s">
        <v>38</v>
      </c>
      <c r="D35" s="77" t="s">
        <v>126</v>
      </c>
      <c r="E35" s="102" t="s">
        <v>128</v>
      </c>
    </row>
    <row r="36" spans="2:5" x14ac:dyDescent="0.75">
      <c r="B36" s="223" t="s">
        <v>266</v>
      </c>
      <c r="C36" s="149" t="s">
        <v>267</v>
      </c>
      <c r="D36" s="363">
        <f>'داده‌های ورودی'!$D$21</f>
        <v>0.7</v>
      </c>
      <c r="E36" s="152"/>
    </row>
    <row r="37" spans="2:5" x14ac:dyDescent="0.75">
      <c r="B37" s="223" t="s">
        <v>244</v>
      </c>
      <c r="C37" s="149" t="s">
        <v>249</v>
      </c>
      <c r="D37" s="149">
        <v>40</v>
      </c>
      <c r="E37" s="152"/>
    </row>
    <row r="38" spans="2:5" x14ac:dyDescent="0.75">
      <c r="B38" s="223" t="s">
        <v>245</v>
      </c>
      <c r="C38" s="149" t="s">
        <v>250</v>
      </c>
      <c r="D38" s="149">
        <v>85</v>
      </c>
      <c r="E38" s="152"/>
    </row>
    <row r="39" spans="2:5" x14ac:dyDescent="0.75">
      <c r="B39" s="223" t="s">
        <v>246</v>
      </c>
      <c r="C39" s="149" t="s">
        <v>0</v>
      </c>
      <c r="D39" s="149">
        <v>0.7782</v>
      </c>
      <c r="E39" s="152"/>
    </row>
    <row r="40" spans="2:5" x14ac:dyDescent="0.75">
      <c r="B40" s="223" t="s">
        <v>443</v>
      </c>
      <c r="C40" s="149" t="s">
        <v>251</v>
      </c>
      <c r="D40" s="361">
        <v>22.54</v>
      </c>
      <c r="E40" s="225"/>
    </row>
    <row r="41" spans="2:5" x14ac:dyDescent="0.75">
      <c r="B41" s="223" t="s">
        <v>292</v>
      </c>
      <c r="C41" s="149" t="s">
        <v>251</v>
      </c>
      <c r="D41" s="365">
        <v>104.71</v>
      </c>
      <c r="E41" s="225" t="s">
        <v>281</v>
      </c>
    </row>
    <row r="42" spans="2:5" x14ac:dyDescent="0.75">
      <c r="B42" s="223" t="s">
        <v>248</v>
      </c>
      <c r="C42" s="149" t="s">
        <v>252</v>
      </c>
      <c r="D42" s="230">
        <v>1164</v>
      </c>
      <c r="E42" s="225"/>
    </row>
    <row r="43" spans="2:5" x14ac:dyDescent="0.75">
      <c r="B43" s="223" t="s">
        <v>253</v>
      </c>
      <c r="C43" s="149" t="s">
        <v>265</v>
      </c>
      <c r="D43" s="252">
        <v>1.6000000000000001E-3</v>
      </c>
      <c r="E43" s="225"/>
    </row>
    <row r="44" spans="2:5" x14ac:dyDescent="0.75">
      <c r="B44" s="223" t="s">
        <v>254</v>
      </c>
      <c r="C44" s="149" t="s">
        <v>265</v>
      </c>
      <c r="D44" s="252">
        <v>1.8700000000000001E-2</v>
      </c>
      <c r="E44" s="225"/>
    </row>
    <row r="45" spans="2:5" x14ac:dyDescent="0.75">
      <c r="B45" s="223" t="s">
        <v>255</v>
      </c>
      <c r="C45" s="149" t="s">
        <v>265</v>
      </c>
      <c r="D45" s="252">
        <v>0.74519999999999997</v>
      </c>
      <c r="E45" s="225"/>
    </row>
    <row r="46" spans="2:5" x14ac:dyDescent="0.75">
      <c r="B46" s="223" t="s">
        <v>256</v>
      </c>
      <c r="C46" s="149" t="s">
        <v>265</v>
      </c>
      <c r="D46" s="252">
        <v>9.5899999999999999E-2</v>
      </c>
      <c r="E46" s="225"/>
    </row>
    <row r="47" spans="2:5" x14ac:dyDescent="0.75">
      <c r="B47" s="223" t="s">
        <v>257</v>
      </c>
      <c r="C47" s="149" t="s">
        <v>265</v>
      </c>
      <c r="D47" s="252">
        <v>5.1799999999999999E-2</v>
      </c>
      <c r="E47" s="225"/>
    </row>
    <row r="48" spans="2:5" x14ac:dyDescent="0.75">
      <c r="B48" s="223" t="s">
        <v>258</v>
      </c>
      <c r="C48" s="149" t="s">
        <v>265</v>
      </c>
      <c r="D48" s="252">
        <v>9.4000000000000004E-3</v>
      </c>
      <c r="E48" s="225"/>
    </row>
    <row r="49" spans="2:5" x14ac:dyDescent="0.75">
      <c r="B49" s="223" t="s">
        <v>259</v>
      </c>
      <c r="C49" s="149" t="s">
        <v>265</v>
      </c>
      <c r="D49" s="252">
        <v>2.01E-2</v>
      </c>
      <c r="E49" s="225"/>
    </row>
    <row r="50" spans="2:5" x14ac:dyDescent="0.75">
      <c r="B50" s="223" t="s">
        <v>260</v>
      </c>
      <c r="C50" s="149" t="s">
        <v>265</v>
      </c>
      <c r="D50" s="252">
        <v>6.1999999999999998E-3</v>
      </c>
      <c r="E50" s="225"/>
    </row>
    <row r="51" spans="2:5" x14ac:dyDescent="0.75">
      <c r="B51" s="223" t="s">
        <v>261</v>
      </c>
      <c r="C51" s="149" t="s">
        <v>265</v>
      </c>
      <c r="D51" s="252">
        <v>6.1000000000000004E-3</v>
      </c>
      <c r="E51" s="225"/>
    </row>
    <row r="52" spans="2:5" x14ac:dyDescent="0.75">
      <c r="B52" s="223" t="s">
        <v>262</v>
      </c>
      <c r="C52" s="149" t="s">
        <v>265</v>
      </c>
      <c r="D52" s="252">
        <v>4.3E-3</v>
      </c>
      <c r="E52" s="225"/>
    </row>
    <row r="53" spans="2:5" x14ac:dyDescent="0.75">
      <c r="B53" s="223" t="s">
        <v>263</v>
      </c>
      <c r="C53" s="149" t="s">
        <v>265</v>
      </c>
      <c r="D53" s="252">
        <v>2.7000000000000001E-3</v>
      </c>
      <c r="E53" s="225"/>
    </row>
    <row r="54" spans="2:5" ht="18.899999999999999" thickBot="1" x14ac:dyDescent="0.8">
      <c r="B54" s="227" t="s">
        <v>264</v>
      </c>
      <c r="C54" s="153" t="s">
        <v>265</v>
      </c>
      <c r="D54" s="256">
        <v>3.7999999999999999E-2</v>
      </c>
      <c r="E54" s="229"/>
    </row>
  </sheetData>
  <mergeCells count="5">
    <mergeCell ref="B34:E34"/>
    <mergeCell ref="B2:E2"/>
    <mergeCell ref="B19:E19"/>
    <mergeCell ref="B27:E27"/>
    <mergeCell ref="B11:E11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D44B"/>
  </sheetPr>
  <dimension ref="A2:Q24"/>
  <sheetViews>
    <sheetView rightToLeft="1" zoomScaleNormal="100" workbookViewId="0">
      <selection activeCell="K35" sqref="K35"/>
    </sheetView>
  </sheetViews>
  <sheetFormatPr defaultColWidth="9" defaultRowHeight="12.45" x14ac:dyDescent="0.3"/>
  <cols>
    <col min="1" max="1" width="51" style="1" customWidth="1"/>
    <col min="2" max="2" width="9" style="1"/>
    <col min="3" max="3" width="13.765625" style="1" bestFit="1" customWidth="1"/>
    <col min="4" max="4" width="20.765625" style="1" customWidth="1"/>
    <col min="5" max="5" width="18.765625" style="1" customWidth="1"/>
    <col min="6" max="17" width="20.765625" style="1" customWidth="1"/>
    <col min="18" max="16384" width="9" style="1"/>
  </cols>
  <sheetData>
    <row r="2" spans="1:17" ht="23.15" x14ac:dyDescent="1">
      <c r="A2" s="40" t="s">
        <v>39</v>
      </c>
      <c r="B2" s="41"/>
      <c r="C2" s="41"/>
      <c r="D2" s="42"/>
      <c r="E2" s="43"/>
      <c r="F2" s="43"/>
      <c r="G2" s="43"/>
      <c r="H2" s="43"/>
      <c r="I2" s="43"/>
      <c r="J2" s="44">
        <f>J9*24</f>
        <v>9101.0152620330136</v>
      </c>
      <c r="K2" s="45"/>
      <c r="L2" s="45"/>
      <c r="M2" s="45"/>
      <c r="N2" s="45"/>
      <c r="O2" s="45"/>
      <c r="P2" s="45"/>
      <c r="Q2" s="45"/>
    </row>
    <row r="3" spans="1:17" ht="19.75" x14ac:dyDescent="0.85">
      <c r="A3" s="686" t="s">
        <v>3</v>
      </c>
      <c r="B3" s="262" t="s">
        <v>40</v>
      </c>
      <c r="C3" s="680">
        <v>1406</v>
      </c>
      <c r="D3" s="680">
        <f>C3+1</f>
        <v>1407</v>
      </c>
      <c r="E3" s="680">
        <f>D3+1</f>
        <v>1408</v>
      </c>
      <c r="F3" s="680">
        <f t="shared" ref="F3:N3" si="0">E3+1</f>
        <v>1409</v>
      </c>
      <c r="G3" s="680">
        <f t="shared" si="0"/>
        <v>1410</v>
      </c>
      <c r="H3" s="680">
        <f t="shared" si="0"/>
        <v>1411</v>
      </c>
      <c r="I3" s="680">
        <f t="shared" si="0"/>
        <v>1412</v>
      </c>
      <c r="J3" s="680">
        <f t="shared" si="0"/>
        <v>1413</v>
      </c>
      <c r="K3" s="680">
        <f t="shared" si="0"/>
        <v>1414</v>
      </c>
      <c r="L3" s="680">
        <f t="shared" si="0"/>
        <v>1415</v>
      </c>
      <c r="M3" s="680">
        <f t="shared" si="0"/>
        <v>1416</v>
      </c>
      <c r="N3" s="680">
        <f t="shared" si="0"/>
        <v>1417</v>
      </c>
      <c r="O3" s="680">
        <f t="shared" ref="O3" si="1">N3+1</f>
        <v>1418</v>
      </c>
      <c r="P3" s="680">
        <f t="shared" ref="P3" si="2">O3+1</f>
        <v>1419</v>
      </c>
      <c r="Q3" s="680">
        <f t="shared" ref="Q3" si="3">P3+1</f>
        <v>1420</v>
      </c>
    </row>
    <row r="4" spans="1:17" ht="19.75" x14ac:dyDescent="0.85">
      <c r="A4" s="686"/>
      <c r="B4" s="262" t="s">
        <v>41</v>
      </c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</row>
    <row r="5" spans="1:17" ht="23.15" x14ac:dyDescent="0.3">
      <c r="A5" s="687" t="s">
        <v>425</v>
      </c>
      <c r="B5" s="688"/>
      <c r="C5" s="264">
        <v>0</v>
      </c>
      <c r="D5" s="263">
        <v>1</v>
      </c>
      <c r="E5" s="263">
        <f>+D5+1</f>
        <v>2</v>
      </c>
      <c r="F5" s="263">
        <f t="shared" ref="F5:Q5" si="4">+E5+1</f>
        <v>3</v>
      </c>
      <c r="G5" s="263">
        <f t="shared" si="4"/>
        <v>4</v>
      </c>
      <c r="H5" s="263">
        <f t="shared" si="4"/>
        <v>5</v>
      </c>
      <c r="I5" s="263">
        <f t="shared" si="4"/>
        <v>6</v>
      </c>
      <c r="J5" s="263">
        <f t="shared" si="4"/>
        <v>7</v>
      </c>
      <c r="K5" s="263">
        <f t="shared" si="4"/>
        <v>8</v>
      </c>
      <c r="L5" s="263">
        <f t="shared" si="4"/>
        <v>9</v>
      </c>
      <c r="M5" s="263">
        <f t="shared" si="4"/>
        <v>10</v>
      </c>
      <c r="N5" s="263">
        <f t="shared" si="4"/>
        <v>11</v>
      </c>
      <c r="O5" s="263">
        <f t="shared" si="4"/>
        <v>12</v>
      </c>
      <c r="P5" s="263">
        <f t="shared" si="4"/>
        <v>13</v>
      </c>
      <c r="Q5" s="263">
        <f t="shared" si="4"/>
        <v>14</v>
      </c>
    </row>
    <row r="6" spans="1:17" ht="23.15" x14ac:dyDescent="1">
      <c r="A6" s="48" t="s">
        <v>42</v>
      </c>
      <c r="B6" s="46">
        <v>30</v>
      </c>
      <c r="C6" s="49">
        <f>'مواد مصرفی'!$D$3*میلیون*('داده هاي اقتصاد كلان'!$D$20+1)^C$5*دلار+'مواد مصرفی'!$D$8*('داده هاي اقتصاد كلان'!$D$19+1)^C$5</f>
        <v>2195.947780364726</v>
      </c>
      <c r="D6" s="49">
        <f>('مواد مصرفی'!$D$4*میلیون/'داده‌های ورودی'!$D$29*$B$6*('داده هاي اقتصاد كلان'!$D$20+1)^D$5*دلار+'مواد مصرفی'!$D$9/'داده‌های ورودی'!$D$29*$B$6*('داده هاي اقتصاد كلان'!$D$19+1)^D$5)*'برآوردهاي پايه'!D5</f>
        <v>76.74611159348089</v>
      </c>
      <c r="E6" s="49">
        <f>('مواد مصرفی'!$D$4*میلیون/'داده‌های ورودی'!$D$29*$B$6*('داده هاي اقتصاد كلان'!$D$20+1)^E$5*دلار+'مواد مصرفی'!$D$9/'داده‌های ورودی'!$D$29*$B$6*('داده هاي اقتصاد كلان'!$D$19+1)^E$5)*'برآوردهاي پايه'!E5</f>
        <v>78.312358768858047</v>
      </c>
      <c r="F6" s="49">
        <f>('مواد مصرفی'!$D$4*میلیون/'داده‌های ورودی'!$D$29*$B$6*('داده هاي اقتصاد كلان'!$D$20+1)^F$5*دلار+'مواد مصرفی'!$D$9/'داده‌های ورودی'!$D$29*$B$6*('داده هاي اقتصاد كلان'!$D$19+1)^F$5)*'برآوردهاي پايه'!F5</f>
        <v>77.529235181169469</v>
      </c>
      <c r="G6" s="49">
        <f>('مواد مصرفی'!$D$4*میلیون/'داده‌های ورودی'!$D$29*$B$6*('داده هاي اقتصاد كلان'!$D$20+1)^G$5*دلار+'مواد مصرفی'!$D$9/'داده‌های ورودی'!$D$29*$B$6*('داده هاي اقتصاد كلان'!$D$19+1)^G$5)*'برآوردهاي پايه'!G5</f>
        <v>76.74611159348089</v>
      </c>
      <c r="H6" s="49">
        <f>('مواد مصرفی'!$D$4*میلیون/'داده‌های ورودی'!$D$29*$B$6*('داده هاي اقتصاد كلان'!$D$20+1)^H$5*دلار+'مواد مصرفی'!$D$9/'داده‌های ورودی'!$D$29*$B$6*('داده هاي اقتصاد كلان'!$D$19+1)^H$5)*'برآوردهاي پايه'!H5</f>
        <v>75.962988005792297</v>
      </c>
      <c r="I6" s="49">
        <f>('مواد مصرفی'!$D$4*میلیون/'داده‌های ورودی'!$D$29*$B$6*('داده هاي اقتصاد كلان'!$D$20+1)^I$5*دلار+'مواد مصرفی'!$D$9/'داده‌های ورودی'!$D$29*$B$6*('داده هاي اقتصاد كلان'!$D$19+1)^I$5)*'برآوردهاي پايه'!I5</f>
        <v>75.179864418103719</v>
      </c>
      <c r="J6" s="49">
        <f>('مواد مصرفی'!$D$4*میلیون/'داده‌های ورودی'!$D$29*$B$6*('داده هاي اقتصاد كلان'!$D$20+1)^J$5*دلار+'مواد مصرفی'!$D$9/'داده‌های ورودی'!$D$29*$B$6*('داده هاي اقتصاد كلان'!$D$19+1)^J$5)*'برآوردهاي پايه'!J5</f>
        <v>74.396740830415141</v>
      </c>
      <c r="K6" s="49">
        <f>('مواد مصرفی'!$D$4*میلیون/'داده‌های ورودی'!$D$29*$B$6*('داده هاي اقتصاد كلان'!$D$20+1)^K$5*دلار+'مواد مصرفی'!$D$9/'داده‌های ورودی'!$D$29*$B$6*('داده هاي اقتصاد كلان'!$D$19+1)^K$5)*'برآوردهاي پايه'!K5</f>
        <v>73.613617242726562</v>
      </c>
      <c r="L6" s="49">
        <f>('مواد مصرفی'!$D$4*میلیون/'داده‌های ورودی'!$D$29*$B$6*('داده هاي اقتصاد كلان'!$D$20+1)^L$5*دلار+'مواد مصرفی'!$D$9/'داده‌های ورودی'!$D$29*$B$6*('داده هاي اقتصاد كلان'!$D$19+1)^L$5)*'برآوردهاي پايه'!L5</f>
        <v>72.830493655037984</v>
      </c>
      <c r="M6" s="49">
        <f>('مواد مصرفی'!$D$4*میلیون/'داده‌های ورودی'!$D$29*$B$6*('داده هاي اقتصاد كلان'!$D$20+1)^M$5*دلار+'مواد مصرفی'!$D$9/'داده‌های ورودی'!$D$29*$B$6*('داده هاي اقتصاد كلان'!$D$19+1)^M$5)*'برآوردهاي پايه'!M5</f>
        <v>72.047370067349405</v>
      </c>
      <c r="N6" s="49">
        <f>('مواد مصرفی'!$D$4*میلیون/'داده‌های ورودی'!$D$29*$B$6*('داده هاي اقتصاد كلان'!$D$20+1)^N$5*دلار+'مواد مصرفی'!$D$9/'داده‌های ورودی'!$D$29*$B$6*('داده هاي اقتصاد كلان'!$D$19+1)^N$5)*'برآوردهاي پايه'!N5</f>
        <v>71.264246479660827</v>
      </c>
      <c r="O6" s="49">
        <f>('مواد مصرفی'!$D$4*میلیون/'داده‌های ورودی'!$D$29*$B$6*('داده هاي اقتصاد كلان'!$D$20+1)^O$5*دلار+'مواد مصرفی'!$D$9/'داده‌های ورودی'!$D$29*$B$6*('داده هاي اقتصاد كلان'!$D$19+1)^O$5)*'برآوردهاي پايه'!O5</f>
        <v>70.481122891972248</v>
      </c>
      <c r="P6" s="49">
        <f>('مواد مصرفی'!$D$4*میلیون/'داده‌های ورودی'!$D$29*$B$6*('داده هاي اقتصاد كلان'!$D$20+1)^P$5*دلار+'مواد مصرفی'!$D$9/'داده‌های ورودی'!$D$29*$B$6*('داده هاي اقتصاد كلان'!$D$19+1)^P$5)*'برآوردهاي پايه'!P5</f>
        <v>69.69799930428367</v>
      </c>
      <c r="Q6" s="49">
        <f>('مواد مصرفی'!$D$4*میلیون/'داده‌های ورودی'!$D$29*$B$6*('داده هاي اقتصاد كلان'!$D$20+1)^Q$5*دلار+'مواد مصرفی'!$D$9/'داده‌های ورودی'!$D$29*$B$6*('داده هاي اقتصاد كلان'!$D$19+1)^Q$5)*'برآوردهاي پايه'!Q5</f>
        <v>68.914875716595077</v>
      </c>
    </row>
    <row r="7" spans="1:17" ht="23.15" hidden="1" x14ac:dyDescent="1">
      <c r="A7" s="48" t="s">
        <v>426</v>
      </c>
      <c r="B7" s="46">
        <v>0</v>
      </c>
      <c r="C7" s="47">
        <f>'هزینه‌های تولید'!D14/'داده‌های ورودی'!$D$29*$B$7</f>
        <v>0</v>
      </c>
      <c r="D7" s="47">
        <f>'هزینه‌های تولید'!E14/'داده‌های ورودی'!$D$29*$B$7</f>
        <v>0</v>
      </c>
      <c r="E7" s="47">
        <f>'هزینه‌های تولید'!F14/'داده‌های ورودی'!$D$29*$B$7</f>
        <v>0</v>
      </c>
      <c r="F7" s="47">
        <f>'هزینه‌های تولید'!G14/'داده‌های ورودی'!$D$29*$B$7</f>
        <v>0</v>
      </c>
      <c r="G7" s="47">
        <f>'هزینه‌های تولید'!H14/'داده‌های ورودی'!$D$29*$B$7</f>
        <v>0</v>
      </c>
      <c r="H7" s="47">
        <f>'هزینه‌های تولید'!I14/'داده‌های ورودی'!$D$29*$B$7</f>
        <v>0</v>
      </c>
      <c r="I7" s="47">
        <f>'هزینه‌های تولید'!J14/'داده‌های ورودی'!$D$29*$B$7</f>
        <v>0</v>
      </c>
      <c r="J7" s="47">
        <f>'هزینه‌های تولید'!K14/'داده‌های ورودی'!$D$29*$B$7</f>
        <v>0</v>
      </c>
      <c r="K7" s="47">
        <f>'هزینه‌های تولید'!L14/'داده‌های ورودی'!$D$29*$B$7</f>
        <v>0</v>
      </c>
      <c r="L7" s="47">
        <f>'هزینه‌های تولید'!M14/'داده‌های ورودی'!$D$29*$B$7</f>
        <v>0</v>
      </c>
      <c r="M7" s="47">
        <f>'هزینه‌های تولید'!N14/'داده‌های ورودی'!$D$29*$B$7</f>
        <v>0</v>
      </c>
      <c r="N7" s="47">
        <f>'هزینه‌های تولید'!O14/'داده‌های ورودی'!$D$29*$B$7</f>
        <v>0</v>
      </c>
      <c r="O7" s="47">
        <f>'هزینه‌های تولید'!P14/'داده‌های ورودی'!$D$29*$B$7</f>
        <v>0</v>
      </c>
      <c r="P7" s="47">
        <f>'هزینه‌های تولید'!Q14/'داده‌های ورودی'!$D$29*$B$7</f>
        <v>0</v>
      </c>
      <c r="Q7" s="47">
        <f>'هزینه‌های تولید'!R14/'داده‌های ورودی'!$D$29*$B$7</f>
        <v>0</v>
      </c>
    </row>
    <row r="8" spans="1:17" ht="23.15" x14ac:dyDescent="1">
      <c r="A8" s="75" t="s">
        <v>5883</v>
      </c>
      <c r="B8" s="46">
        <v>90</v>
      </c>
      <c r="C8" s="47">
        <f>'هزینه‌های تولید'!D16/'داده‌های ورودی'!$D$29*$B$8</f>
        <v>73970.131449946071</v>
      </c>
      <c r="D8" s="47">
        <f>'هزینه‌های تولید'!E16/'داده‌های ورودی'!$D$29*$B$8</f>
        <v>131542.85660791845</v>
      </c>
      <c r="E8" s="47">
        <f>'هزینه‌های تولید'!F16/'داده‌های ورودی'!$D$29*$B$8</f>
        <v>137567.01430449213</v>
      </c>
      <c r="F8" s="47">
        <f>'هزینه‌های تولید'!G16/'داده‌های ورودی'!$D$29*$B$8</f>
        <v>137188.07059378852</v>
      </c>
      <c r="G8" s="47">
        <f>'هزینه‌های تولید'!H16/'داده‌های ورودی'!$D$29*$B$8</f>
        <v>136809.12688308489</v>
      </c>
      <c r="H8" s="47">
        <f>'هزینه‌های تولید'!I16/'داده‌های ورودی'!$D$29*$B$8</f>
        <v>136430.18317238125</v>
      </c>
      <c r="I8" s="47">
        <f>'هزینه‌های تولید'!J16/'داده‌های ورودی'!$D$29*$B$8</f>
        <v>136051.23946167761</v>
      </c>
      <c r="J8" s="47">
        <f>'هزینه‌های تولید'!K16/'داده‌های ورودی'!$D$29*$B$8</f>
        <v>135672.29575097395</v>
      </c>
      <c r="K8" s="47">
        <f>'هزینه‌های تولید'!L16/'داده‌های ورودی'!$D$29*$B$8</f>
        <v>135293.35204027034</v>
      </c>
      <c r="L8" s="47">
        <f>'هزینه‌های تولید'!M16/'داده‌های ورودی'!$D$29*$B$8</f>
        <v>134914.40832956671</v>
      </c>
      <c r="M8" s="47">
        <f>'هزینه‌های تولید'!N16/'داده‌های ورودی'!$D$29*$B$8</f>
        <v>134535.46461886307</v>
      </c>
      <c r="N8" s="47">
        <f>'هزینه‌های تولید'!O16/'داده‌های ورودی'!$D$29*$B$8</f>
        <v>134156.52090815941</v>
      </c>
      <c r="O8" s="47">
        <f>'هزینه‌های تولید'!P16/'داده‌های ورودی'!$D$29*$B$8</f>
        <v>133777.5771974558</v>
      </c>
      <c r="P8" s="47">
        <f>'هزینه‌های تولید'!Q16/'داده‌های ورودی'!$D$29*$B$8</f>
        <v>133398.63348675214</v>
      </c>
      <c r="Q8" s="47">
        <f>'هزینه‌های تولید'!R16/'داده‌های ورودی'!$D$29*$B$8</f>
        <v>133019.6897760485</v>
      </c>
    </row>
    <row r="9" spans="1:17" ht="23.15" x14ac:dyDescent="1">
      <c r="A9" s="50" t="s">
        <v>43</v>
      </c>
      <c r="B9" s="46">
        <v>30</v>
      </c>
      <c r="C9" s="51">
        <f>('هزینه‌های تولید'!D20)/'داده‌های ورودی'!$D$29*$B$9</f>
        <v>4.5454545454545455E-4</v>
      </c>
      <c r="D9" s="51">
        <f>('هزینه‌های تولید'!E20)/'داده‌های ورودی'!$D$29*$B$9</f>
        <v>1084.5269367190097</v>
      </c>
      <c r="E9" s="51">
        <f>('هزینه‌های تولید'!F20)/'داده‌های ورودی'!$D$29*$B$9</f>
        <v>1173.5418752526878</v>
      </c>
      <c r="F9" s="51">
        <f>('هزینه‌های تولید'!G20)/'داده‌های ورودی'!$D$29*$B$9</f>
        <v>616.10758623115089</v>
      </c>
      <c r="G9" s="51">
        <f>('هزینه‌های تولید'!H20)/'داده‌های ورودی'!$D$29*$B$9</f>
        <v>646.92955389486735</v>
      </c>
      <c r="H9" s="51">
        <f>('هزینه‌های تولید'!I20)/'داده‌های ورودی'!$D$29*$B$9</f>
        <v>679.22271954259838</v>
      </c>
      <c r="I9" s="51">
        <f>('هزینه‌های تولید'!J20)/'داده‌های ورودی'!$D$29*$B$9</f>
        <v>713.052090162274</v>
      </c>
      <c r="J9" s="51">
        <f>('هزینه‌های تولید'!K20)/'داده‌های ورودی'!$D$29*$B$9</f>
        <v>379.20896925137555</v>
      </c>
      <c r="K9" s="51">
        <f>('هزینه‌های تولید'!L20)/'داده‌های ورودی'!$D$29*$B$9</f>
        <v>407.70775378137341</v>
      </c>
      <c r="L9" s="51">
        <f>('هزینه‌های تولید'!M20)/'داده‌های ورودی'!$D$29*$B$9</f>
        <v>438.29870508310063</v>
      </c>
      <c r="M9" s="51">
        <f>('هزینه‌های تولید'!N20)/'داده‌های ورودی'!$D$29*$B$9</f>
        <v>471.13046482542927</v>
      </c>
      <c r="N9" s="51">
        <f>('هزینه‌های تولید'!O20)/'داده‌های ورودی'!$D$29*$B$9</f>
        <v>245.11888806207898</v>
      </c>
      <c r="O9" s="51">
        <f>('هزینه‌های تولید'!P20)/'داده‌های ورودی'!$D$29*$B$9</f>
        <v>248.26071112073097</v>
      </c>
      <c r="P9" s="51">
        <f>('هزینه‌های تولید'!Q20)/'داده‌های ورودی'!$D$29*$B$9</f>
        <v>251.41176232498114</v>
      </c>
      <c r="Q9" s="51">
        <f>('هزینه‌های تولید'!R20)/'داده‌های ورودی'!$D$29*$B$9</f>
        <v>254.57066551285823</v>
      </c>
    </row>
    <row r="10" spans="1:17" ht="23.15" hidden="1" x14ac:dyDescent="1">
      <c r="A10" s="50" t="s">
        <v>44</v>
      </c>
      <c r="B10" s="46">
        <v>0</v>
      </c>
      <c r="C10" s="51">
        <f>('هزینه‌های تولید'!D8+'هزینه‌های تولید'!D9+'هزینه‌های تولید'!D10+'هزینه‌های تولید'!D11+'هزینه‌های تولید'!D12+'هزینه‌های تولید'!D13+'هزینه‌های تولید'!D15)/'داده‌های ورودی'!$D$29*$B$10</f>
        <v>0</v>
      </c>
      <c r="D10" s="51">
        <f>('هزینه‌های تولید'!E8+'هزینه‌های تولید'!E9+'هزینه‌های تولید'!E10+'هزینه‌های تولید'!E11+'هزینه‌های تولید'!E12+'هزینه‌های تولید'!E13+'هزینه‌های تولید'!E15)/'داده‌های ورودی'!$D$29*$B$10</f>
        <v>0</v>
      </c>
      <c r="E10" s="51">
        <f>('هزینه‌های تولید'!F8+'هزینه‌های تولید'!F9+'هزینه‌های تولید'!F10+'هزینه‌های تولید'!F11+'هزینه‌های تولید'!F12+'هزینه‌های تولید'!F13+'هزینه‌های تولید'!F15)/'داده‌های ورودی'!$D$29*$B$10</f>
        <v>0</v>
      </c>
      <c r="F10" s="51">
        <f>('هزینه‌های تولید'!G8+'هزینه‌های تولید'!G9+'هزینه‌های تولید'!G10+'هزینه‌های تولید'!G11+'هزینه‌های تولید'!G12+'هزینه‌های تولید'!G13+'هزینه‌های تولید'!G15)/'داده‌های ورودی'!$D$29*$B$10</f>
        <v>0</v>
      </c>
      <c r="G10" s="51">
        <f>('هزینه‌های تولید'!H8+'هزینه‌های تولید'!H9+'هزینه‌های تولید'!H10+'هزینه‌های تولید'!H11+'هزینه‌های تولید'!H12+'هزینه‌های تولید'!H13+'هزینه‌های تولید'!H15)/'داده‌های ورودی'!$D$29*$B$10</f>
        <v>0</v>
      </c>
      <c r="H10" s="51">
        <f>('هزینه‌های تولید'!I8+'هزینه‌های تولید'!I9+'هزینه‌های تولید'!I10+'هزینه‌های تولید'!I11+'هزینه‌های تولید'!I12+'هزینه‌های تولید'!I13+'هزینه‌های تولید'!I15)/'داده‌های ورودی'!$D$29*$B$10</f>
        <v>0</v>
      </c>
      <c r="I10" s="51">
        <f>('هزینه‌های تولید'!J8+'هزینه‌های تولید'!J9+'هزینه‌های تولید'!J10+'هزینه‌های تولید'!J11+'هزینه‌های تولید'!J12+'هزینه‌های تولید'!J13+'هزینه‌های تولید'!J15)/'داده‌های ورودی'!$D$29*$B$10</f>
        <v>0</v>
      </c>
      <c r="J10" s="51">
        <f>('هزینه‌های تولید'!K8+'هزینه‌های تولید'!K9+'هزینه‌های تولید'!K10+'هزینه‌های تولید'!K11+'هزینه‌های تولید'!K12+'هزینه‌های تولید'!K13+'هزینه‌های تولید'!K15)/'داده‌های ورودی'!$D$29*$B$10</f>
        <v>0</v>
      </c>
      <c r="K10" s="51">
        <f>('هزینه‌های تولید'!L8+'هزینه‌های تولید'!L9+'هزینه‌های تولید'!L10+'هزینه‌های تولید'!L11+'هزینه‌های تولید'!L12+'هزینه‌های تولید'!L13+'هزینه‌های تولید'!L15)/'داده‌های ورودی'!$D$29*$B$10</f>
        <v>0</v>
      </c>
      <c r="L10" s="51">
        <f>('هزینه‌های تولید'!M8+'هزینه‌های تولید'!M9+'هزینه‌های تولید'!M10+'هزینه‌های تولید'!M11+'هزینه‌های تولید'!M12+'هزینه‌های تولید'!M13+'هزینه‌های تولید'!M15)/'داده‌های ورودی'!$D$29*$B$10</f>
        <v>0</v>
      </c>
      <c r="M10" s="51">
        <f>('هزینه‌های تولید'!N8+'هزینه‌های تولید'!N9+'هزینه‌های تولید'!N10+'هزینه‌های تولید'!N11+'هزینه‌های تولید'!N12+'هزینه‌های تولید'!N13+'هزینه‌های تولید'!N15)/'داده‌های ورودی'!$D$29*$B$10</f>
        <v>0</v>
      </c>
      <c r="N10" s="51">
        <f>('هزینه‌های تولید'!O8+'هزینه‌های تولید'!O9+'هزینه‌های تولید'!O10+'هزینه‌های تولید'!O11+'هزینه‌های تولید'!O12+'هزینه‌های تولید'!O13+'هزینه‌های تولید'!O15)/'داده‌های ورودی'!$D$29*$B$10</f>
        <v>0</v>
      </c>
      <c r="O10" s="51">
        <f>('هزینه‌های تولید'!P8+'هزینه‌های تولید'!P9+'هزینه‌های تولید'!P10+'هزینه‌های تولید'!P11+'هزینه‌های تولید'!P12+'هزینه‌های تولید'!P13+'هزینه‌های تولید'!P15)/'داده‌های ورودی'!$D$29*$B$10</f>
        <v>0</v>
      </c>
      <c r="P10" s="51">
        <f>('هزینه‌های تولید'!Q8+'هزینه‌های تولید'!Q9+'هزینه‌های تولید'!Q10+'هزینه‌های تولید'!Q11+'هزینه‌های تولید'!Q12+'هزینه‌های تولید'!Q13+'هزینه‌های تولید'!Q15)/'داده‌های ورودی'!$D$29*$B$10</f>
        <v>0</v>
      </c>
      <c r="Q10" s="51">
        <f>('هزینه‌های تولید'!R8+'هزینه‌های تولید'!R9+'هزینه‌های تولید'!R10+'هزینه‌های تولید'!R11+'هزینه‌های تولید'!R12+'هزینه‌های تولید'!R13+'هزینه‌های تولید'!R15)/'داده‌های ورودی'!$D$29*$B$10</f>
        <v>0</v>
      </c>
    </row>
    <row r="11" spans="1:17" ht="23.15" x14ac:dyDescent="1">
      <c r="A11" s="50" t="s">
        <v>421</v>
      </c>
      <c r="B11" s="52">
        <v>30</v>
      </c>
      <c r="C11" s="51">
        <v>0</v>
      </c>
      <c r="D11" s="51">
        <f>'گاز و يوتيليتي'!$C$7/'تبديل واحد و اعداد ثابت'!$D$4*$B$11</f>
        <v>3067.4330930761071</v>
      </c>
      <c r="E11" s="51">
        <f>'گاز و يوتيليتي'!$C$7/'تبديل واحد و اعداد ثابت'!$D$4*$B$11</f>
        <v>3067.4330930761071</v>
      </c>
      <c r="F11" s="51">
        <f>'گاز و يوتيليتي'!$C$7/'تبديل واحد و اعداد ثابت'!$D$4*$B$11</f>
        <v>3067.4330930761071</v>
      </c>
      <c r="G11" s="51">
        <f>'گاز و يوتيليتي'!$C$7/'تبديل واحد و اعداد ثابت'!$D$4*$B$11</f>
        <v>3067.4330930761071</v>
      </c>
      <c r="H11" s="51">
        <f>'گاز و يوتيليتي'!$C$7/'تبديل واحد و اعداد ثابت'!$D$4*$B$11</f>
        <v>3067.4330930761071</v>
      </c>
      <c r="I11" s="51">
        <f>'گاز و يوتيليتي'!$C$7/'تبديل واحد و اعداد ثابت'!$D$4*$B$11</f>
        <v>3067.4330930761071</v>
      </c>
      <c r="J11" s="51">
        <f>'گاز و يوتيليتي'!$C$7/'تبديل واحد و اعداد ثابت'!$D$4*$B$11</f>
        <v>3067.4330930761071</v>
      </c>
      <c r="K11" s="51">
        <f>'گاز و يوتيليتي'!$C$7/'تبديل واحد و اعداد ثابت'!$D$4*$B$11</f>
        <v>3067.4330930761071</v>
      </c>
      <c r="L11" s="51">
        <f>'گاز و يوتيليتي'!$C$7/'تبديل واحد و اعداد ثابت'!$D$4*$B$11</f>
        <v>3067.4330930761071</v>
      </c>
      <c r="M11" s="51">
        <f>'گاز و يوتيليتي'!$C$7/'تبديل واحد و اعداد ثابت'!$D$4*$B$11</f>
        <v>3067.4330930761071</v>
      </c>
      <c r="N11" s="51">
        <f>'گاز و يوتيليتي'!$C$7/'تبديل واحد و اعداد ثابت'!$D$4*$B$11</f>
        <v>3067.4330930761071</v>
      </c>
      <c r="O11" s="51">
        <f>'گاز و يوتيليتي'!$C$7/'تبديل واحد و اعداد ثابت'!$D$4*$B$11</f>
        <v>3067.4330930761071</v>
      </c>
      <c r="P11" s="51">
        <f>'گاز و يوتيليتي'!$C$7/'تبديل واحد و اعداد ثابت'!$D$4*$B$11</f>
        <v>3067.4330930761071</v>
      </c>
      <c r="Q11" s="51">
        <f>'گاز و يوتيليتي'!$C$7/'تبديل واحد و اعداد ثابت'!$D$4*$B$11</f>
        <v>3067.4330930761071</v>
      </c>
    </row>
    <row r="12" spans="1:17" ht="23.15" x14ac:dyDescent="0.3">
      <c r="A12" s="684" t="s">
        <v>45</v>
      </c>
      <c r="B12" s="685"/>
      <c r="C12" s="266">
        <f>C6+C7+C8+C9+C10+C11</f>
        <v>76166.07968485626</v>
      </c>
      <c r="D12" s="266">
        <f t="shared" ref="D12:Q12" si="5">D6+D7+D8+D9+D10+D11</f>
        <v>135771.56274930705</v>
      </c>
      <c r="E12" s="266">
        <f t="shared" si="5"/>
        <v>141886.30163158977</v>
      </c>
      <c r="F12" s="266">
        <f>F6+F7+F8+F9+F10+F11</f>
        <v>140949.14050827693</v>
      </c>
      <c r="G12" s="266">
        <f t="shared" si="5"/>
        <v>140600.23564164934</v>
      </c>
      <c r="H12" s="266">
        <f t="shared" si="5"/>
        <v>140252.80197300576</v>
      </c>
      <c r="I12" s="266">
        <f t="shared" si="5"/>
        <v>139906.9045093341</v>
      </c>
      <c r="J12" s="266">
        <f t="shared" si="5"/>
        <v>139193.33455413184</v>
      </c>
      <c r="K12" s="266">
        <f t="shared" si="5"/>
        <v>138842.10650437055</v>
      </c>
      <c r="L12" s="266">
        <f t="shared" si="5"/>
        <v>138492.97062138095</v>
      </c>
      <c r="M12" s="266">
        <f t="shared" si="5"/>
        <v>138146.07554683197</v>
      </c>
      <c r="N12" s="266">
        <f t="shared" si="5"/>
        <v>137540.33713577726</v>
      </c>
      <c r="O12" s="266">
        <f t="shared" si="5"/>
        <v>137163.75212454461</v>
      </c>
      <c r="P12" s="266">
        <f t="shared" si="5"/>
        <v>136787.1763414575</v>
      </c>
      <c r="Q12" s="266">
        <f t="shared" si="5"/>
        <v>136410.60841035403</v>
      </c>
    </row>
    <row r="13" spans="1:17" ht="23.15" hidden="1" x14ac:dyDescent="1">
      <c r="A13" s="265" t="s">
        <v>118</v>
      </c>
      <c r="B13" s="46">
        <v>0</v>
      </c>
      <c r="C13" s="266">
        <v>0</v>
      </c>
      <c r="D13" s="266">
        <v>0</v>
      </c>
      <c r="E13" s="266">
        <v>0</v>
      </c>
      <c r="F13" s="266">
        <v>0</v>
      </c>
      <c r="G13" s="266">
        <v>0</v>
      </c>
      <c r="H13" s="266">
        <v>0</v>
      </c>
      <c r="I13" s="266">
        <v>0</v>
      </c>
      <c r="J13" s="266">
        <v>0</v>
      </c>
      <c r="K13" s="266">
        <v>0</v>
      </c>
      <c r="L13" s="266">
        <v>0</v>
      </c>
      <c r="M13" s="266">
        <v>0</v>
      </c>
      <c r="N13" s="266">
        <v>0</v>
      </c>
      <c r="O13" s="266">
        <v>0</v>
      </c>
      <c r="P13" s="266">
        <v>0</v>
      </c>
      <c r="Q13" s="266">
        <v>0</v>
      </c>
    </row>
    <row r="14" spans="1:17" ht="23.15" hidden="1" x14ac:dyDescent="1">
      <c r="A14" s="265" t="s">
        <v>119</v>
      </c>
      <c r="B14" s="52">
        <v>0</v>
      </c>
      <c r="C14" s="266">
        <v>0</v>
      </c>
      <c r="D14" s="266">
        <v>0</v>
      </c>
      <c r="E14" s="266">
        <v>0</v>
      </c>
      <c r="F14" s="266">
        <v>0</v>
      </c>
      <c r="G14" s="266">
        <v>0</v>
      </c>
      <c r="H14" s="266">
        <v>0</v>
      </c>
      <c r="I14" s="266">
        <v>0</v>
      </c>
      <c r="J14" s="266">
        <v>0</v>
      </c>
      <c r="K14" s="266">
        <v>0</v>
      </c>
      <c r="L14" s="266">
        <v>0</v>
      </c>
      <c r="M14" s="266">
        <v>0</v>
      </c>
      <c r="N14" s="266">
        <v>0</v>
      </c>
      <c r="O14" s="266">
        <v>0</v>
      </c>
      <c r="P14" s="266">
        <v>0</v>
      </c>
      <c r="Q14" s="266">
        <v>0</v>
      </c>
    </row>
    <row r="15" spans="1:17" ht="23.15" x14ac:dyDescent="1">
      <c r="A15" s="682" t="s">
        <v>46</v>
      </c>
      <c r="B15" s="683"/>
      <c r="C15" s="267">
        <f>C12-C13-C14</f>
        <v>76166.07968485626</v>
      </c>
      <c r="D15" s="267">
        <f>D12-D13-D14</f>
        <v>135771.56274930705</v>
      </c>
      <c r="E15" s="267">
        <f>E12-E13-E14</f>
        <v>141886.30163158977</v>
      </c>
      <c r="F15" s="267">
        <f t="shared" ref="F15:Q15" si="6">F12-F13-F14</f>
        <v>140949.14050827693</v>
      </c>
      <c r="G15" s="267">
        <f>G12-G13-G14</f>
        <v>140600.23564164934</v>
      </c>
      <c r="H15" s="267">
        <f t="shared" si="6"/>
        <v>140252.80197300576</v>
      </c>
      <c r="I15" s="267">
        <f t="shared" si="6"/>
        <v>139906.9045093341</v>
      </c>
      <c r="J15" s="267">
        <f t="shared" si="6"/>
        <v>139193.33455413184</v>
      </c>
      <c r="K15" s="267">
        <f t="shared" si="6"/>
        <v>138842.10650437055</v>
      </c>
      <c r="L15" s="267">
        <f t="shared" si="6"/>
        <v>138492.97062138095</v>
      </c>
      <c r="M15" s="267">
        <f t="shared" si="6"/>
        <v>138146.07554683197</v>
      </c>
      <c r="N15" s="267">
        <f t="shared" si="6"/>
        <v>137540.33713577726</v>
      </c>
      <c r="O15" s="267">
        <f t="shared" si="6"/>
        <v>137163.75212454461</v>
      </c>
      <c r="P15" s="267">
        <f t="shared" si="6"/>
        <v>136787.1763414575</v>
      </c>
      <c r="Q15" s="267">
        <f t="shared" si="6"/>
        <v>136410.60841035403</v>
      </c>
    </row>
    <row r="16" spans="1:17" ht="23.15" x14ac:dyDescent="1">
      <c r="A16" s="682" t="s">
        <v>550</v>
      </c>
      <c r="B16" s="683"/>
      <c r="C16" s="268">
        <f>C15</f>
        <v>76166.07968485626</v>
      </c>
      <c r="D16" s="267">
        <f t="shared" ref="D16:I16" si="7">D15-C15</f>
        <v>59605.483064450789</v>
      </c>
      <c r="E16" s="267">
        <f t="shared" si="7"/>
        <v>6114.7388822827197</v>
      </c>
      <c r="F16" s="267">
        <f t="shared" si="7"/>
        <v>-937.16112331283512</v>
      </c>
      <c r="G16" s="267">
        <f t="shared" si="7"/>
        <v>-348.90486662759213</v>
      </c>
      <c r="H16" s="269">
        <f t="shared" si="7"/>
        <v>-347.43366864358541</v>
      </c>
      <c r="I16" s="269">
        <f t="shared" si="7"/>
        <v>-345.89746367165935</v>
      </c>
      <c r="J16" s="269">
        <f t="shared" ref="J16:N16" si="8">J15-I15</f>
        <v>-713.5699552022561</v>
      </c>
      <c r="K16" s="269">
        <f>K15-J15</f>
        <v>-351.22804976129555</v>
      </c>
      <c r="L16" s="269">
        <f t="shared" si="8"/>
        <v>-349.13588298959075</v>
      </c>
      <c r="M16" s="269">
        <f t="shared" si="8"/>
        <v>-346.89507454898558</v>
      </c>
      <c r="N16" s="269">
        <f t="shared" si="8"/>
        <v>-605.73841105471365</v>
      </c>
      <c r="O16" s="269">
        <f t="shared" ref="O16" si="9">O15-N15</f>
        <v>-376.58501123264432</v>
      </c>
      <c r="P16" s="269">
        <f t="shared" ref="P16" si="10">P15-O15</f>
        <v>-376.57578308711527</v>
      </c>
      <c r="Q16" s="269">
        <f t="shared" ref="Q16" si="11">Q15-P15</f>
        <v>-376.56793110346189</v>
      </c>
    </row>
    <row r="17" spans="1:17" ht="23.15" x14ac:dyDescent="0.9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20" spans="1:17" x14ac:dyDescent="0.3">
      <c r="F20" s="11"/>
      <c r="G20" s="12"/>
    </row>
    <row r="21" spans="1:17" x14ac:dyDescent="0.3">
      <c r="F21" s="3"/>
    </row>
    <row r="24" spans="1:17" x14ac:dyDescent="0.3">
      <c r="F24" s="2"/>
    </row>
  </sheetData>
  <mergeCells count="20">
    <mergeCell ref="A15:B15"/>
    <mergeCell ref="A16:B16"/>
    <mergeCell ref="A12:B12"/>
    <mergeCell ref="A3:A4"/>
    <mergeCell ref="N3:N4"/>
    <mergeCell ref="D3:D4"/>
    <mergeCell ref="E3:E4"/>
    <mergeCell ref="F3:F4"/>
    <mergeCell ref="G3:G4"/>
    <mergeCell ref="H3:H4"/>
    <mergeCell ref="A5:B5"/>
    <mergeCell ref="C3:C4"/>
    <mergeCell ref="O3:O4"/>
    <mergeCell ref="P3:P4"/>
    <mergeCell ref="Q3:Q4"/>
    <mergeCell ref="I3:I4"/>
    <mergeCell ref="J3:J4"/>
    <mergeCell ref="K3:K4"/>
    <mergeCell ref="L3:L4"/>
    <mergeCell ref="M3:M4"/>
  </mergeCells>
  <phoneticPr fontId="14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2954B-D3EC-4465-9F46-423B5E6C2CDF}">
  <sheetPr>
    <tabColor rgb="FF00CC99"/>
  </sheetPr>
  <dimension ref="B2:F90"/>
  <sheetViews>
    <sheetView rightToLeft="1" topLeftCell="A67" zoomScaleNormal="100" zoomScaleSheetLayoutView="100" workbookViewId="0">
      <selection activeCell="B3" sqref="B3:E3"/>
    </sheetView>
  </sheetViews>
  <sheetFormatPr defaultColWidth="10.23046875" defaultRowHeight="18.45" x14ac:dyDescent="0.75"/>
  <cols>
    <col min="1" max="1" width="14.61328125" style="23" customWidth="1"/>
    <col min="2" max="2" width="35.61328125" style="23" customWidth="1"/>
    <col min="3" max="3" width="22.07421875" style="23" bestFit="1" customWidth="1"/>
    <col min="4" max="4" width="20.15234375" style="23" bestFit="1" customWidth="1"/>
    <col min="5" max="5" width="27" style="23" customWidth="1"/>
    <col min="6" max="6" width="21" style="23" customWidth="1"/>
    <col min="7" max="7" width="16.23046875" style="23" customWidth="1"/>
    <col min="8" max="10" width="10.765625" style="23" customWidth="1"/>
    <col min="11" max="11" width="19.3046875" style="23" customWidth="1"/>
    <col min="12" max="12" width="14.07421875" style="23" bestFit="1" customWidth="1"/>
    <col min="13" max="15" width="10.765625" style="23" customWidth="1"/>
    <col min="16" max="16" width="11.23046875" style="23" bestFit="1" customWidth="1"/>
    <col min="17" max="17" width="18.53515625" style="23" bestFit="1" customWidth="1"/>
    <col min="18" max="18" width="12.53515625" style="23" bestFit="1" customWidth="1"/>
    <col min="19" max="16384" width="10.23046875" style="23"/>
  </cols>
  <sheetData>
    <row r="2" spans="2:6" ht="20.149999999999999" thickBot="1" x14ac:dyDescent="0.9">
      <c r="B2" s="689" t="s">
        <v>5952</v>
      </c>
      <c r="C2" s="690"/>
    </row>
    <row r="3" spans="2:6" ht="19.75" x14ac:dyDescent="0.85">
      <c r="B3" s="691" t="s">
        <v>5861</v>
      </c>
      <c r="C3" s="692"/>
      <c r="D3" s="595"/>
      <c r="E3" s="596"/>
    </row>
    <row r="4" spans="2:6" ht="19.75" x14ac:dyDescent="0.85">
      <c r="B4" s="101" t="s">
        <v>125</v>
      </c>
      <c r="C4" s="77" t="s">
        <v>38</v>
      </c>
      <c r="D4" s="77" t="s">
        <v>126</v>
      </c>
      <c r="E4" s="102" t="s">
        <v>128</v>
      </c>
    </row>
    <row r="5" spans="2:6" x14ac:dyDescent="0.75">
      <c r="B5" s="219" t="s">
        <v>419</v>
      </c>
      <c r="C5" s="220" t="s">
        <v>0</v>
      </c>
      <c r="D5" s="220" t="s">
        <v>232</v>
      </c>
      <c r="E5" s="221"/>
    </row>
    <row r="6" spans="2:6" x14ac:dyDescent="0.75">
      <c r="B6" s="219" t="s">
        <v>420</v>
      </c>
      <c r="C6" s="220" t="s">
        <v>0</v>
      </c>
      <c r="D6" s="220" t="s">
        <v>233</v>
      </c>
      <c r="E6" s="221"/>
    </row>
    <row r="7" spans="2:6" x14ac:dyDescent="0.75">
      <c r="B7" s="219" t="s">
        <v>234</v>
      </c>
      <c r="C7" s="220" t="s">
        <v>93</v>
      </c>
      <c r="D7" s="222">
        <v>0.9</v>
      </c>
      <c r="E7" s="221"/>
    </row>
    <row r="8" spans="2:6" x14ac:dyDescent="0.75">
      <c r="B8" s="492" t="s">
        <v>5855</v>
      </c>
      <c r="C8" s="238" t="s">
        <v>340</v>
      </c>
      <c r="D8" s="242">
        <f>'داده‌های ورودی'!D21*میلیون/'تبديل واحد و اعداد ثابت'!$D$31/هزار</f>
        <v>19.821773935499948</v>
      </c>
      <c r="E8" s="243"/>
    </row>
    <row r="9" spans="2:6" x14ac:dyDescent="0.75">
      <c r="B9" s="223" t="s">
        <v>5780</v>
      </c>
      <c r="C9" s="149" t="s">
        <v>340</v>
      </c>
      <c r="D9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ورودی'!$D45*'تبديل واحد و اعداد ثابت'!$D53/'تبديل واحد و اعداد ثابت'!$D$16/('تبديل واحد و اعداد ثابت'!$D$54/'تبديل واحد و اعداد ثابت'!$D$16*'تبديل واحد و اعداد ثابت'!$D$37)/'تبديل واحد و اعداد ثابت'!$D$16),0)</f>
        <v>0</v>
      </c>
      <c r="E9" s="221"/>
    </row>
    <row r="10" spans="2:6" x14ac:dyDescent="0.75">
      <c r="B10" s="223" t="s">
        <v>290</v>
      </c>
      <c r="C10" s="149" t="s">
        <v>340</v>
      </c>
      <c r="D10" s="224">
        <f>IF('انتخاب سناریو و وضعيت بازار'!F16=1,(('داده‌های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ورودی'!$D46*'تبديل واحد و اعداد ثابت'!$D55/'تبديل واحد و اعداد ثابت'!$D$16/('تبديل واحد و اعداد ثابت'!$D$56/'تبديل واحد و اعداد ثابت'!$D$16*'تبديل واحد و اعداد ثابت'!$D$37)/'تبديل واحد و اعداد ثابت'!$D$16),0)</f>
        <v>0</v>
      </c>
      <c r="E10" s="221"/>
    </row>
    <row r="11" spans="2:6" x14ac:dyDescent="0.75">
      <c r="B11" s="237" t="s">
        <v>291</v>
      </c>
      <c r="C11" s="241" t="s">
        <v>340</v>
      </c>
      <c r="D11" s="242">
        <f>SUM(D9:D10)</f>
        <v>0</v>
      </c>
      <c r="E11" s="243"/>
      <c r="F11" s="95"/>
    </row>
    <row r="12" spans="2:6" x14ac:dyDescent="0.75">
      <c r="B12" s="223" t="s">
        <v>268</v>
      </c>
      <c r="C12" s="220" t="s">
        <v>276</v>
      </c>
      <c r="D12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ورودی'!$D47*'تبديل واحد و اعداد ثابت'!$D57/'تبديل واحد و اعداد ثابت'!$D$17*$D$7,0)</f>
        <v>0</v>
      </c>
      <c r="E12" s="221"/>
    </row>
    <row r="13" spans="2:6" x14ac:dyDescent="0.75">
      <c r="B13" s="223" t="s">
        <v>271</v>
      </c>
      <c r="C13" s="220" t="s">
        <v>276</v>
      </c>
      <c r="D13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ورودی'!$D48*'تبديل واحد و اعداد ثابت'!$D58/'تبديل واحد و اعداد ثابت'!$D$17*$D$7,0)</f>
        <v>0</v>
      </c>
      <c r="E13" s="225"/>
    </row>
    <row r="14" spans="2:6" x14ac:dyDescent="0.75">
      <c r="B14" s="223" t="s">
        <v>269</v>
      </c>
      <c r="C14" s="220" t="s">
        <v>276</v>
      </c>
      <c r="D14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ورودی'!$D49*'تبديل واحد و اعداد ثابت'!$D59/'تبديل واحد و اعداد ثابت'!$D$17*$D$7,0)</f>
        <v>0</v>
      </c>
      <c r="E14" s="225"/>
    </row>
    <row r="15" spans="2:6" x14ac:dyDescent="0.75">
      <c r="B15" s="237" t="s">
        <v>270</v>
      </c>
      <c r="C15" s="238" t="s">
        <v>276</v>
      </c>
      <c r="D15" s="239">
        <f>SUM(D12:D14)</f>
        <v>0</v>
      </c>
      <c r="E15" s="240"/>
    </row>
    <row r="16" spans="2:6" x14ac:dyDescent="0.75">
      <c r="B16" s="223" t="s">
        <v>294</v>
      </c>
      <c r="C16" s="220" t="s">
        <v>276</v>
      </c>
      <c r="D16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ورودی'!$D50*'تبديل واحد و اعداد ثابت'!$D60/'تبديل واحد و اعداد ثابت'!$D$17*$D$7,0)</f>
        <v>0</v>
      </c>
      <c r="E16" s="225"/>
    </row>
    <row r="17" spans="2:5" x14ac:dyDescent="0.75">
      <c r="B17" s="223" t="s">
        <v>295</v>
      </c>
      <c r="C17" s="220" t="s">
        <v>276</v>
      </c>
      <c r="D17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ورودی'!$D51*'تبديل واحد و اعداد ثابت'!$D61/'تبديل واحد و اعداد ثابت'!$D$17*$D$7,0)</f>
        <v>0</v>
      </c>
      <c r="E17" s="225"/>
    </row>
    <row r="18" spans="2:5" x14ac:dyDescent="0.75">
      <c r="B18" s="223" t="s">
        <v>289</v>
      </c>
      <c r="C18" s="220" t="s">
        <v>276</v>
      </c>
      <c r="D18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ورودی'!$D52*'تبديل واحد و اعداد ثابت'!$D62/'تبديل واحد و اعداد ثابت'!$D$17*$D$7,0)</f>
        <v>0</v>
      </c>
      <c r="E18" s="225"/>
    </row>
    <row r="19" spans="2:5" x14ac:dyDescent="0.75">
      <c r="B19" s="223" t="s">
        <v>289</v>
      </c>
      <c r="C19" s="220" t="s">
        <v>276</v>
      </c>
      <c r="D19" s="224">
        <f>IF('انتخاب سناریو و وضعيت بازار'!F16=1,('داده‌های ورودی'!$D$36*'تبديل واحد و اعداد ثابت'!$D$17/'تبديل واحد و اعداد ثابت'!$D$31)*('داده‌های ورودی'!$D$39*'تبديل واحد و اعداد ثابت'!$D$48*'تبديل واحد و اعداد ثابت'!$D$16)/'داده‌های ورودی'!$D$40*'داده‌های ورودی'!$D53*'داده‌های ورودی'!$D41/'تبديل واحد و اعداد ثابت'!$D$17*$D$7,0)</f>
        <v>0</v>
      </c>
      <c r="E19" s="225"/>
    </row>
    <row r="20" spans="2:5" ht="18.899999999999999" thickBot="1" x14ac:dyDescent="0.8">
      <c r="B20" s="233" t="s">
        <v>284</v>
      </c>
      <c r="C20" s="234" t="s">
        <v>276</v>
      </c>
      <c r="D20" s="235">
        <f>SUM(D16:D18)</f>
        <v>0</v>
      </c>
      <c r="E20" s="236"/>
    </row>
    <row r="21" spans="2:5" x14ac:dyDescent="0.75">
      <c r="B21" s="32"/>
      <c r="C21" s="32"/>
      <c r="D21" s="32"/>
      <c r="E21" s="24"/>
    </row>
    <row r="22" spans="2:5" x14ac:dyDescent="0.75">
      <c r="B22" s="32"/>
      <c r="C22" s="32"/>
      <c r="D22" s="32"/>
      <c r="E22" s="24"/>
    </row>
    <row r="23" spans="2:5" x14ac:dyDescent="0.75">
      <c r="B23" s="32"/>
      <c r="C23" s="32"/>
      <c r="D23" s="32"/>
      <c r="E23" s="24"/>
    </row>
    <row r="24" spans="2:5" ht="18.899999999999999" thickBot="1" x14ac:dyDescent="0.8">
      <c r="B24" s="32"/>
      <c r="C24" s="32"/>
      <c r="D24" s="32"/>
      <c r="E24" s="24"/>
    </row>
    <row r="25" spans="2:5" ht="19.75" x14ac:dyDescent="0.85">
      <c r="B25" s="594" t="s">
        <v>5860</v>
      </c>
      <c r="C25" s="595"/>
      <c r="D25" s="595"/>
      <c r="E25" s="596"/>
    </row>
    <row r="26" spans="2:5" ht="19.75" x14ac:dyDescent="0.85">
      <c r="B26" s="428" t="s">
        <v>125</v>
      </c>
      <c r="C26" s="405" t="s">
        <v>38</v>
      </c>
      <c r="D26" s="77" t="s">
        <v>126</v>
      </c>
      <c r="E26" s="102" t="s">
        <v>128</v>
      </c>
    </row>
    <row r="27" spans="2:5" ht="19.75" x14ac:dyDescent="0.75">
      <c r="B27" s="150" t="s">
        <v>341</v>
      </c>
      <c r="C27" s="217" t="s">
        <v>0</v>
      </c>
      <c r="D27" s="151" t="s">
        <v>342</v>
      </c>
      <c r="E27" s="218"/>
    </row>
    <row r="28" spans="2:5" ht="19.75" x14ac:dyDescent="0.75">
      <c r="B28" s="150" t="s">
        <v>351</v>
      </c>
      <c r="C28" s="217" t="s">
        <v>346</v>
      </c>
      <c r="D28" s="230">
        <v>1</v>
      </c>
      <c r="E28" s="218"/>
    </row>
    <row r="29" spans="2:5" ht="19.75" x14ac:dyDescent="0.75">
      <c r="B29" s="150" t="s">
        <v>347</v>
      </c>
      <c r="C29" s="217" t="s">
        <v>93</v>
      </c>
      <c r="D29" s="231">
        <v>0.37</v>
      </c>
      <c r="E29" s="218"/>
    </row>
    <row r="30" spans="2:5" ht="19.75" x14ac:dyDescent="0.75">
      <c r="B30" s="150" t="s">
        <v>551</v>
      </c>
      <c r="C30" s="217" t="s">
        <v>345</v>
      </c>
      <c r="D30" s="224">
        <f>'داده‌های ورودی'!$D$42*'تبديل واحد و اعداد ثابت'!$D$31*'تبديل واحد و اعداد ثابت'!$D$38/میلیون</f>
        <v>43.369459847404798</v>
      </c>
      <c r="E30" s="218"/>
    </row>
    <row r="31" spans="2:5" ht="19.75" x14ac:dyDescent="0.75">
      <c r="B31" s="150" t="s">
        <v>343</v>
      </c>
      <c r="C31" s="217" t="s">
        <v>345</v>
      </c>
      <c r="D31" s="224">
        <v>35.799999999999997</v>
      </c>
      <c r="E31" s="218"/>
    </row>
    <row r="32" spans="2:5" ht="19.75" x14ac:dyDescent="0.75">
      <c r="B32" s="150" t="s">
        <v>344</v>
      </c>
      <c r="C32" s="217" t="s">
        <v>345</v>
      </c>
      <c r="D32" s="224">
        <v>63.8</v>
      </c>
      <c r="E32" s="218"/>
    </row>
    <row r="33" spans="2:5" ht="19.75" x14ac:dyDescent="0.75">
      <c r="B33" s="248" t="s">
        <v>5856</v>
      </c>
      <c r="C33" s="249" t="s">
        <v>349</v>
      </c>
      <c r="D33" s="242">
        <f>IF('انتخاب سناریو و وضعيت بازار'!$F$16=0,'داده‌های ورودی'!$D$21*میلیون/'تبديل واحد و اعداد ثابت'!$D$31*'برآورد محصول'!$D$30,'برآورد محصول'!$D$9*'برآورد محصول'!D31*هزار+'برآورد محصول'!D10*'برآورد محصول'!D32*هزار)</f>
        <v>859659.62879999995</v>
      </c>
      <c r="E33" s="250"/>
    </row>
    <row r="34" spans="2:5" ht="19.75" x14ac:dyDescent="0.75">
      <c r="B34" s="150" t="s">
        <v>5857</v>
      </c>
      <c r="C34" s="217" t="s">
        <v>350</v>
      </c>
      <c r="D34" s="224">
        <f>$D$33*$D$29/'تبديل واحد و اعداد ثابت'!$D$43</f>
        <v>88.353906293333324</v>
      </c>
      <c r="E34" s="218"/>
    </row>
    <row r="35" spans="2:5" ht="19.75" x14ac:dyDescent="0.75">
      <c r="B35" s="150" t="s">
        <v>5858</v>
      </c>
      <c r="C35" s="217" t="s">
        <v>346</v>
      </c>
      <c r="D35" s="224">
        <f>$D$34/روزانه</f>
        <v>3.6814127622222217</v>
      </c>
      <c r="E35" s="218"/>
    </row>
    <row r="36" spans="2:5" ht="19.75" x14ac:dyDescent="0.75">
      <c r="B36" s="150" t="s">
        <v>5859</v>
      </c>
      <c r="C36" s="217"/>
      <c r="D36" s="232">
        <f>ROUNDUP($D$35/$D$28,0)</f>
        <v>4</v>
      </c>
      <c r="E36" s="218"/>
    </row>
    <row r="37" spans="2:5" ht="19.75" x14ac:dyDescent="0.75">
      <c r="B37" s="150" t="s">
        <v>461</v>
      </c>
      <c r="C37" s="217" t="s">
        <v>0</v>
      </c>
      <c r="D37" s="232">
        <f>'برآوردهاي پايه'!$D$112</f>
        <v>1</v>
      </c>
      <c r="E37" s="218"/>
    </row>
    <row r="38" spans="2:5" ht="20.149999999999999" thickBot="1" x14ac:dyDescent="0.8">
      <c r="B38" s="244" t="s">
        <v>5781</v>
      </c>
      <c r="C38" s="245" t="s">
        <v>0</v>
      </c>
      <c r="D38" s="246">
        <f>$D$36+$D$37</f>
        <v>5</v>
      </c>
      <c r="E38" s="247"/>
    </row>
    <row r="40" spans="2:5" ht="18.899999999999999" thickBot="1" x14ac:dyDescent="0.8"/>
    <row r="41" spans="2:5" ht="19.75" x14ac:dyDescent="0.85">
      <c r="B41" s="594" t="s">
        <v>5880</v>
      </c>
      <c r="C41" s="595"/>
      <c r="D41" s="595"/>
      <c r="E41" s="596"/>
    </row>
    <row r="42" spans="2:5" ht="19.75" x14ac:dyDescent="0.85">
      <c r="B42" s="428" t="s">
        <v>125</v>
      </c>
      <c r="C42" s="405" t="s">
        <v>38</v>
      </c>
      <c r="D42" s="77" t="s">
        <v>126</v>
      </c>
      <c r="E42" s="102" t="s">
        <v>128</v>
      </c>
    </row>
    <row r="43" spans="2:5" ht="20.149999999999999" thickBot="1" x14ac:dyDescent="0.8">
      <c r="B43" s="244" t="s">
        <v>5948</v>
      </c>
      <c r="C43" s="245" t="s">
        <v>5866</v>
      </c>
      <c r="D43" s="496">
        <v>0.03</v>
      </c>
      <c r="E43" s="247"/>
    </row>
    <row r="44" spans="2:5" ht="19.75" x14ac:dyDescent="0.75">
      <c r="B44" s="76"/>
      <c r="C44" s="76"/>
      <c r="D44" s="505"/>
      <c r="E44" s="506"/>
    </row>
    <row r="45" spans="2:5" ht="19.75" x14ac:dyDescent="0.75">
      <c r="B45" s="76"/>
      <c r="C45" s="76"/>
      <c r="D45" s="505"/>
      <c r="E45" s="506"/>
    </row>
    <row r="46" spans="2:5" ht="19.75" x14ac:dyDescent="0.75">
      <c r="B46" s="76"/>
      <c r="C46" s="76"/>
      <c r="D46" s="505"/>
      <c r="E46" s="506"/>
    </row>
    <row r="47" spans="2:5" ht="20.149999999999999" thickBot="1" x14ac:dyDescent="0.8">
      <c r="B47" s="76"/>
      <c r="C47" s="76"/>
      <c r="D47" s="505"/>
      <c r="E47" s="506"/>
    </row>
    <row r="48" spans="2:5" ht="19.75" x14ac:dyDescent="0.75">
      <c r="B48" s="597" t="s">
        <v>5799</v>
      </c>
      <c r="C48" s="598"/>
      <c r="D48" s="598"/>
      <c r="E48" s="599"/>
    </row>
    <row r="49" spans="2:6" x14ac:dyDescent="0.75">
      <c r="B49" s="436" t="s">
        <v>125</v>
      </c>
      <c r="C49" s="437" t="s">
        <v>38</v>
      </c>
      <c r="D49" s="437" t="s">
        <v>126</v>
      </c>
      <c r="E49" s="438" t="s">
        <v>128</v>
      </c>
    </row>
    <row r="50" spans="2:6" x14ac:dyDescent="0.75">
      <c r="B50" s="442" t="str">
        <f>'داده‌های ورودی'!$B13</f>
        <v>دوره اول استخراج</v>
      </c>
      <c r="C50" s="693" t="s">
        <v>378</v>
      </c>
      <c r="D50" s="259">
        <v>3.125</v>
      </c>
      <c r="E50" s="429"/>
    </row>
    <row r="51" spans="2:6" x14ac:dyDescent="0.75">
      <c r="B51" s="442" t="str">
        <f>'داده‌های ورودی'!$B14</f>
        <v>دوره دوم استخراج</v>
      </c>
      <c r="C51" s="694"/>
      <c r="D51" s="259">
        <f>D50/2</f>
        <v>1.5625</v>
      </c>
      <c r="E51" s="429"/>
    </row>
    <row r="52" spans="2:6" x14ac:dyDescent="0.75">
      <c r="B52" s="442" t="str">
        <f>'داده‌های ورودی'!$B15</f>
        <v>دوره سوم استخراج</v>
      </c>
      <c r="C52" s="694"/>
      <c r="D52" s="259">
        <f>D51/2</f>
        <v>0.78125</v>
      </c>
      <c r="E52" s="429"/>
    </row>
    <row r="53" spans="2:6" ht="18.899999999999999" thickBot="1" x14ac:dyDescent="0.8">
      <c r="B53" s="443" t="str">
        <f>'داده‌های ورودی'!$B16</f>
        <v>دوره چهام استخراج</v>
      </c>
      <c r="C53" s="695"/>
      <c r="D53" s="444">
        <f>D52/2</f>
        <v>0.390625</v>
      </c>
      <c r="E53" s="445"/>
    </row>
    <row r="54" spans="2:6" ht="18.899999999999999" thickBot="1" x14ac:dyDescent="0.8"/>
    <row r="55" spans="2:6" ht="19.75" x14ac:dyDescent="0.75">
      <c r="B55" s="652" t="s">
        <v>5792</v>
      </c>
      <c r="C55" s="653"/>
      <c r="D55" s="653"/>
      <c r="E55" s="654"/>
    </row>
    <row r="56" spans="2:6" x14ac:dyDescent="0.75">
      <c r="B56" s="436" t="s">
        <v>125</v>
      </c>
      <c r="C56" s="437" t="s">
        <v>38</v>
      </c>
      <c r="D56" s="437" t="s">
        <v>126</v>
      </c>
      <c r="E56" s="438" t="s">
        <v>128</v>
      </c>
    </row>
    <row r="57" spans="2:6" x14ac:dyDescent="0.75">
      <c r="B57" s="223" t="s">
        <v>5784</v>
      </c>
      <c r="C57" s="439" t="s">
        <v>375</v>
      </c>
      <c r="D57" s="224">
        <v>906.16</v>
      </c>
      <c r="E57" s="261" t="s">
        <v>376</v>
      </c>
    </row>
    <row r="58" spans="2:6" x14ac:dyDescent="0.75">
      <c r="B58" s="223" t="s">
        <v>377</v>
      </c>
      <c r="C58" s="149" t="s">
        <v>147</v>
      </c>
      <c r="D58" s="232">
        <v>600</v>
      </c>
      <c r="E58" s="225" t="s">
        <v>0</v>
      </c>
    </row>
    <row r="59" spans="2:6" x14ac:dyDescent="0.75">
      <c r="B59" s="223" t="s">
        <v>5793</v>
      </c>
      <c r="C59" s="149" t="s">
        <v>5798</v>
      </c>
      <c r="D59" s="440">
        <v>0.02</v>
      </c>
      <c r="E59" s="696" t="s">
        <v>5794</v>
      </c>
    </row>
    <row r="60" spans="2:6" x14ac:dyDescent="0.75">
      <c r="B60" s="223" t="s">
        <v>5795</v>
      </c>
      <c r="C60" s="149" t="s">
        <v>5798</v>
      </c>
      <c r="D60" s="440">
        <v>1.4999999999999999E-2</v>
      </c>
      <c r="E60" s="697"/>
    </row>
    <row r="61" spans="2:6" x14ac:dyDescent="0.75">
      <c r="B61" s="223" t="s">
        <v>5796</v>
      </c>
      <c r="C61" s="149" t="s">
        <v>5798</v>
      </c>
      <c r="D61" s="440">
        <v>1.0999999999999999E-2</v>
      </c>
      <c r="E61" s="697"/>
    </row>
    <row r="62" spans="2:6" ht="18.899999999999999" thickBot="1" x14ac:dyDescent="0.8">
      <c r="B62" s="227" t="s">
        <v>5797</v>
      </c>
      <c r="C62" s="153" t="s">
        <v>5798</v>
      </c>
      <c r="D62" s="441">
        <v>8.0000000000000002E-3</v>
      </c>
      <c r="E62" s="698"/>
    </row>
    <row r="63" spans="2:6" ht="18.899999999999999" thickBot="1" x14ac:dyDescent="0.8"/>
    <row r="64" spans="2:6" ht="19.75" x14ac:dyDescent="0.75">
      <c r="B64" s="597" t="s">
        <v>5881</v>
      </c>
      <c r="C64" s="598"/>
      <c r="D64" s="598"/>
      <c r="E64" s="598"/>
      <c r="F64" s="599"/>
    </row>
    <row r="65" spans="2:6" x14ac:dyDescent="0.75">
      <c r="B65" s="701" t="s">
        <v>125</v>
      </c>
      <c r="C65" s="699" t="s">
        <v>38</v>
      </c>
      <c r="D65" s="699" t="s">
        <v>5803</v>
      </c>
      <c r="E65" s="699"/>
      <c r="F65" s="700"/>
    </row>
    <row r="66" spans="2:6" x14ac:dyDescent="0.75">
      <c r="B66" s="701"/>
      <c r="C66" s="699"/>
      <c r="D66" s="458" t="s">
        <v>5800</v>
      </c>
      <c r="E66" s="458" t="s">
        <v>5801</v>
      </c>
      <c r="F66" s="571" t="s">
        <v>5802</v>
      </c>
    </row>
    <row r="67" spans="2:6" x14ac:dyDescent="0.75">
      <c r="B67" s="251" t="s">
        <v>5807</v>
      </c>
      <c r="C67" s="252" t="s">
        <v>11</v>
      </c>
      <c r="D67" s="702">
        <v>80000</v>
      </c>
      <c r="E67" s="702"/>
      <c r="F67" s="703"/>
    </row>
    <row r="68" spans="2:6" x14ac:dyDescent="0.75">
      <c r="B68" s="446" t="str">
        <f>'داده‌های ورودی'!$B13</f>
        <v>دوره اول استخراج</v>
      </c>
      <c r="C68" s="149" t="s">
        <v>5798</v>
      </c>
      <c r="D68" s="448">
        <v>1.4999999999999999E-2</v>
      </c>
      <c r="E68" s="448">
        <v>0.02</v>
      </c>
      <c r="F68" s="572">
        <v>2.5000000000000001E-2</v>
      </c>
    </row>
    <row r="69" spans="2:6" x14ac:dyDescent="0.75">
      <c r="B69" s="446" t="str">
        <f>'داده‌های ورودی'!$B14</f>
        <v>دوره دوم استخراج</v>
      </c>
      <c r="C69" s="149" t="s">
        <v>5798</v>
      </c>
      <c r="D69" s="448">
        <v>0.01</v>
      </c>
      <c r="E69" s="448">
        <v>1.4999999999999999E-2</v>
      </c>
      <c r="F69" s="572">
        <v>0.02</v>
      </c>
    </row>
    <row r="70" spans="2:6" x14ac:dyDescent="0.75">
      <c r="B70" s="446" t="str">
        <f>'داده‌های ورودی'!$B15</f>
        <v>دوره سوم استخراج</v>
      </c>
      <c r="C70" s="149" t="s">
        <v>5798</v>
      </c>
      <c r="D70" s="448">
        <v>8.0000000000000002E-3</v>
      </c>
      <c r="E70" s="448">
        <v>0.01</v>
      </c>
      <c r="F70" s="572">
        <v>1.4999999999999999E-2</v>
      </c>
    </row>
    <row r="71" spans="2:6" ht="18.899999999999999" thickBot="1" x14ac:dyDescent="0.8">
      <c r="B71" s="449" t="str">
        <f>'داده‌های ورودی'!$B16</f>
        <v>دوره چهام استخراج</v>
      </c>
      <c r="C71" s="153" t="s">
        <v>5798</v>
      </c>
      <c r="D71" s="450">
        <v>5.0000000000000001E-3</v>
      </c>
      <c r="E71" s="450">
        <v>8.0000000000000002E-3</v>
      </c>
      <c r="F71" s="573">
        <v>0.01</v>
      </c>
    </row>
    <row r="73" spans="2:6" ht="18.899999999999999" thickBot="1" x14ac:dyDescent="0.8"/>
    <row r="74" spans="2:6" ht="19.75" x14ac:dyDescent="0.75">
      <c r="B74" s="597" t="s">
        <v>5791</v>
      </c>
      <c r="C74" s="598"/>
      <c r="D74" s="598"/>
      <c r="E74" s="599"/>
    </row>
    <row r="75" spans="2:6" x14ac:dyDescent="0.75">
      <c r="B75" s="436" t="s">
        <v>125</v>
      </c>
      <c r="C75" s="437" t="s">
        <v>38</v>
      </c>
      <c r="D75" s="437" t="s">
        <v>126</v>
      </c>
      <c r="E75" s="438" t="s">
        <v>128</v>
      </c>
    </row>
    <row r="76" spans="2:6" x14ac:dyDescent="0.75">
      <c r="B76" s="223" t="s">
        <v>5898</v>
      </c>
      <c r="C76" s="149" t="s">
        <v>346</v>
      </c>
      <c r="D76" s="224">
        <f>'برآورد محصول'!D35-'گاز و يوتيليتي'!$D$14/هزار</f>
        <v>3.2439127622222217</v>
      </c>
      <c r="E76" s="225" t="s">
        <v>5949</v>
      </c>
    </row>
    <row r="77" spans="2:6" ht="18.899999999999999" thickBot="1" x14ac:dyDescent="0.8">
      <c r="B77" s="233" t="s">
        <v>5897</v>
      </c>
      <c r="C77" s="375" t="s">
        <v>0</v>
      </c>
      <c r="D77" s="246">
        <f>IF('انتخاب سناریو و وضعيت بازار'!E16=1,ROUNDUP($D$76*هزار/($D$83+'برآوردهاي پايه'!$D$123*'برآوردهاي پايه'!$D$124),0),0)</f>
        <v>453</v>
      </c>
      <c r="E77" s="236"/>
    </row>
    <row r="79" spans="2:6" ht="18.899999999999999" thickBot="1" x14ac:dyDescent="0.8"/>
    <row r="80" spans="2:6" ht="19.75" x14ac:dyDescent="0.75">
      <c r="B80" s="597" t="s">
        <v>5785</v>
      </c>
      <c r="C80" s="598"/>
      <c r="D80" s="598"/>
      <c r="E80" s="599"/>
    </row>
    <row r="81" spans="2:5" x14ac:dyDescent="0.75">
      <c r="B81" s="436" t="s">
        <v>125</v>
      </c>
      <c r="C81" s="437" t="s">
        <v>38</v>
      </c>
      <c r="D81" s="437" t="s">
        <v>126</v>
      </c>
      <c r="E81" s="438" t="s">
        <v>128</v>
      </c>
    </row>
    <row r="82" spans="2:5" x14ac:dyDescent="0.75">
      <c r="B82" s="223" t="s">
        <v>5786</v>
      </c>
      <c r="C82" s="149" t="s">
        <v>0</v>
      </c>
      <c r="D82" s="260" t="s">
        <v>5882</v>
      </c>
      <c r="E82" s="225" t="s">
        <v>5789</v>
      </c>
    </row>
    <row r="83" spans="2:5" x14ac:dyDescent="0.75">
      <c r="B83" s="223" t="s">
        <v>5787</v>
      </c>
      <c r="C83" s="149" t="s">
        <v>372</v>
      </c>
      <c r="D83" s="226">
        <v>5.37</v>
      </c>
      <c r="E83" s="261" t="s">
        <v>371</v>
      </c>
    </row>
    <row r="84" spans="2:5" x14ac:dyDescent="0.75">
      <c r="B84" s="219" t="s">
        <v>5788</v>
      </c>
      <c r="C84" s="574" t="s">
        <v>373</v>
      </c>
      <c r="D84" s="232">
        <v>358</v>
      </c>
      <c r="E84" s="261" t="s">
        <v>371</v>
      </c>
    </row>
    <row r="85" spans="2:5" ht="18.899999999999999" thickBot="1" x14ac:dyDescent="0.8">
      <c r="B85" s="227" t="s">
        <v>391</v>
      </c>
      <c r="C85" s="153" t="s">
        <v>392</v>
      </c>
      <c r="D85" s="447">
        <f>'برآوردهاي پايه'!$D$135*هزار/'برآورد محصول'!$D$84</f>
        <v>8.3798882681564244</v>
      </c>
      <c r="E85" s="257"/>
    </row>
    <row r="87" spans="2:5" ht="18.899999999999999" thickBot="1" x14ac:dyDescent="0.8"/>
    <row r="88" spans="2:5" ht="19.75" x14ac:dyDescent="0.85">
      <c r="B88" s="594" t="s">
        <v>5889</v>
      </c>
      <c r="C88" s="595"/>
      <c r="D88" s="595"/>
      <c r="E88" s="596"/>
    </row>
    <row r="89" spans="2:5" ht="19.75" x14ac:dyDescent="0.85">
      <c r="B89" s="428" t="s">
        <v>125</v>
      </c>
      <c r="C89" s="405" t="s">
        <v>38</v>
      </c>
      <c r="D89" s="77" t="s">
        <v>126</v>
      </c>
      <c r="E89" s="102" t="s">
        <v>128</v>
      </c>
    </row>
    <row r="90" spans="2:5" ht="20.149999999999999" thickBot="1" x14ac:dyDescent="0.8">
      <c r="B90" s="244" t="s">
        <v>5824</v>
      </c>
      <c r="C90" s="245" t="s">
        <v>5888</v>
      </c>
      <c r="D90" s="246">
        <v>450</v>
      </c>
      <c r="E90" s="247" t="s">
        <v>5946</v>
      </c>
    </row>
  </sheetData>
  <mergeCells count="16">
    <mergeCell ref="B2:C2"/>
    <mergeCell ref="B64:F64"/>
    <mergeCell ref="B88:E88"/>
    <mergeCell ref="B25:E25"/>
    <mergeCell ref="B3:E3"/>
    <mergeCell ref="B55:E55"/>
    <mergeCell ref="C50:C53"/>
    <mergeCell ref="B80:E80"/>
    <mergeCell ref="B48:E48"/>
    <mergeCell ref="B74:E74"/>
    <mergeCell ref="E59:E62"/>
    <mergeCell ref="D65:F65"/>
    <mergeCell ref="C65:C66"/>
    <mergeCell ref="B65:B66"/>
    <mergeCell ref="D67:F67"/>
    <mergeCell ref="B41:E41"/>
  </mergeCells>
  <phoneticPr fontId="3" type="noConversion"/>
  <printOptions horizontalCentered="1"/>
  <pageMargins left="0.15748031496062992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CC99"/>
  </sheetPr>
  <dimension ref="B2:GM36"/>
  <sheetViews>
    <sheetView rightToLeft="1" topLeftCell="C1" zoomScaleNormal="100" zoomScaleSheetLayoutView="115" workbookViewId="0">
      <selection activeCell="C42" sqref="C42"/>
    </sheetView>
  </sheetViews>
  <sheetFormatPr defaultColWidth="10.23046875" defaultRowHeight="18.45" x14ac:dyDescent="0.75"/>
  <cols>
    <col min="1" max="1" width="10.23046875" style="20"/>
    <col min="2" max="2" width="19.3828125" style="20" customWidth="1"/>
    <col min="3" max="3" width="21.3046875" style="20" customWidth="1"/>
    <col min="4" max="4" width="20.84375" style="20" hidden="1" customWidth="1"/>
    <col min="5" max="5" width="19.53515625" style="80" bestFit="1" customWidth="1"/>
    <col min="6" max="27" width="16.53515625" style="80" customWidth="1"/>
    <col min="28" max="171" width="15.69140625" style="80" customWidth="1"/>
    <col min="172" max="195" width="15.69140625" style="20" customWidth="1"/>
    <col min="196" max="252" width="10.23046875" style="20"/>
    <col min="253" max="253" width="18" style="20" customWidth="1"/>
    <col min="254" max="254" width="29" style="20" bestFit="1" customWidth="1"/>
    <col min="255" max="255" width="13.23046875" style="20" bestFit="1" customWidth="1"/>
    <col min="256" max="256" width="12.23046875" style="20" bestFit="1" customWidth="1"/>
    <col min="257" max="257" width="24.23046875" style="20" bestFit="1" customWidth="1"/>
    <col min="258" max="258" width="10.23046875" style="20"/>
    <col min="259" max="259" width="14" style="20" customWidth="1"/>
    <col min="260" max="260" width="12" style="20" bestFit="1" customWidth="1"/>
    <col min="261" max="261" width="11.53515625" style="20" bestFit="1" customWidth="1"/>
    <col min="262" max="262" width="25.765625" style="20" customWidth="1"/>
    <col min="263" max="508" width="10.23046875" style="20"/>
    <col min="509" max="509" width="18" style="20" customWidth="1"/>
    <col min="510" max="510" width="29" style="20" bestFit="1" customWidth="1"/>
    <col min="511" max="511" width="13.23046875" style="20" bestFit="1" customWidth="1"/>
    <col min="512" max="512" width="12.23046875" style="20" bestFit="1" customWidth="1"/>
    <col min="513" max="513" width="24.23046875" style="20" bestFit="1" customWidth="1"/>
    <col min="514" max="514" width="10.23046875" style="20"/>
    <col min="515" max="515" width="14" style="20" customWidth="1"/>
    <col min="516" max="516" width="12" style="20" bestFit="1" customWidth="1"/>
    <col min="517" max="517" width="11.53515625" style="20" bestFit="1" customWidth="1"/>
    <col min="518" max="518" width="25.765625" style="20" customWidth="1"/>
    <col min="519" max="764" width="10.23046875" style="20"/>
    <col min="765" max="765" width="18" style="20" customWidth="1"/>
    <col min="766" max="766" width="29" style="20" bestFit="1" customWidth="1"/>
    <col min="767" max="767" width="13.23046875" style="20" bestFit="1" customWidth="1"/>
    <col min="768" max="768" width="12.23046875" style="20" bestFit="1" customWidth="1"/>
    <col min="769" max="769" width="24.23046875" style="20" bestFit="1" customWidth="1"/>
    <col min="770" max="770" width="10.23046875" style="20"/>
    <col min="771" max="771" width="14" style="20" customWidth="1"/>
    <col min="772" max="772" width="12" style="20" bestFit="1" customWidth="1"/>
    <col min="773" max="773" width="11.53515625" style="20" bestFit="1" customWidth="1"/>
    <col min="774" max="774" width="25.765625" style="20" customWidth="1"/>
    <col min="775" max="1020" width="10.23046875" style="20"/>
    <col min="1021" max="1021" width="18" style="20" customWidth="1"/>
    <col min="1022" max="1022" width="29" style="20" bestFit="1" customWidth="1"/>
    <col min="1023" max="1023" width="13.23046875" style="20" bestFit="1" customWidth="1"/>
    <col min="1024" max="1024" width="12.23046875" style="20" bestFit="1" customWidth="1"/>
    <col min="1025" max="1025" width="24.23046875" style="20" bestFit="1" customWidth="1"/>
    <col min="1026" max="1026" width="10.23046875" style="20"/>
    <col min="1027" max="1027" width="14" style="20" customWidth="1"/>
    <col min="1028" max="1028" width="12" style="20" bestFit="1" customWidth="1"/>
    <col min="1029" max="1029" width="11.53515625" style="20" bestFit="1" customWidth="1"/>
    <col min="1030" max="1030" width="25.765625" style="20" customWidth="1"/>
    <col min="1031" max="1276" width="10.23046875" style="20"/>
    <col min="1277" max="1277" width="18" style="20" customWidth="1"/>
    <col min="1278" max="1278" width="29" style="20" bestFit="1" customWidth="1"/>
    <col min="1279" max="1279" width="13.23046875" style="20" bestFit="1" customWidth="1"/>
    <col min="1280" max="1280" width="12.23046875" style="20" bestFit="1" customWidth="1"/>
    <col min="1281" max="1281" width="24.23046875" style="20" bestFit="1" customWidth="1"/>
    <col min="1282" max="1282" width="10.23046875" style="20"/>
    <col min="1283" max="1283" width="14" style="20" customWidth="1"/>
    <col min="1284" max="1284" width="12" style="20" bestFit="1" customWidth="1"/>
    <col min="1285" max="1285" width="11.53515625" style="20" bestFit="1" customWidth="1"/>
    <col min="1286" max="1286" width="25.765625" style="20" customWidth="1"/>
    <col min="1287" max="1532" width="10.23046875" style="20"/>
    <col min="1533" max="1533" width="18" style="20" customWidth="1"/>
    <col min="1534" max="1534" width="29" style="20" bestFit="1" customWidth="1"/>
    <col min="1535" max="1535" width="13.23046875" style="20" bestFit="1" customWidth="1"/>
    <col min="1536" max="1536" width="12.23046875" style="20" bestFit="1" customWidth="1"/>
    <col min="1537" max="1537" width="24.23046875" style="20" bestFit="1" customWidth="1"/>
    <col min="1538" max="1538" width="10.23046875" style="20"/>
    <col min="1539" max="1539" width="14" style="20" customWidth="1"/>
    <col min="1540" max="1540" width="12" style="20" bestFit="1" customWidth="1"/>
    <col min="1541" max="1541" width="11.53515625" style="20" bestFit="1" customWidth="1"/>
    <col min="1542" max="1542" width="25.765625" style="20" customWidth="1"/>
    <col min="1543" max="1788" width="10.23046875" style="20"/>
    <col min="1789" max="1789" width="18" style="20" customWidth="1"/>
    <col min="1790" max="1790" width="29" style="20" bestFit="1" customWidth="1"/>
    <col min="1791" max="1791" width="13.23046875" style="20" bestFit="1" customWidth="1"/>
    <col min="1792" max="1792" width="12.23046875" style="20" bestFit="1" customWidth="1"/>
    <col min="1793" max="1793" width="24.23046875" style="20" bestFit="1" customWidth="1"/>
    <col min="1794" max="1794" width="10.23046875" style="20"/>
    <col min="1795" max="1795" width="14" style="20" customWidth="1"/>
    <col min="1796" max="1796" width="12" style="20" bestFit="1" customWidth="1"/>
    <col min="1797" max="1797" width="11.53515625" style="20" bestFit="1" customWidth="1"/>
    <col min="1798" max="1798" width="25.765625" style="20" customWidth="1"/>
    <col min="1799" max="2044" width="10.23046875" style="20"/>
    <col min="2045" max="2045" width="18" style="20" customWidth="1"/>
    <col min="2046" max="2046" width="29" style="20" bestFit="1" customWidth="1"/>
    <col min="2047" max="2047" width="13.23046875" style="20" bestFit="1" customWidth="1"/>
    <col min="2048" max="2048" width="12.23046875" style="20" bestFit="1" customWidth="1"/>
    <col min="2049" max="2049" width="24.23046875" style="20" bestFit="1" customWidth="1"/>
    <col min="2050" max="2050" width="10.23046875" style="20"/>
    <col min="2051" max="2051" width="14" style="20" customWidth="1"/>
    <col min="2052" max="2052" width="12" style="20" bestFit="1" customWidth="1"/>
    <col min="2053" max="2053" width="11.53515625" style="20" bestFit="1" customWidth="1"/>
    <col min="2054" max="2054" width="25.765625" style="20" customWidth="1"/>
    <col min="2055" max="2300" width="10.23046875" style="20"/>
    <col min="2301" max="2301" width="18" style="20" customWidth="1"/>
    <col min="2302" max="2302" width="29" style="20" bestFit="1" customWidth="1"/>
    <col min="2303" max="2303" width="13.23046875" style="20" bestFit="1" customWidth="1"/>
    <col min="2304" max="2304" width="12.23046875" style="20" bestFit="1" customWidth="1"/>
    <col min="2305" max="2305" width="24.23046875" style="20" bestFit="1" customWidth="1"/>
    <col min="2306" max="2306" width="10.23046875" style="20"/>
    <col min="2307" max="2307" width="14" style="20" customWidth="1"/>
    <col min="2308" max="2308" width="12" style="20" bestFit="1" customWidth="1"/>
    <col min="2309" max="2309" width="11.53515625" style="20" bestFit="1" customWidth="1"/>
    <col min="2310" max="2310" width="25.765625" style="20" customWidth="1"/>
    <col min="2311" max="2556" width="10.23046875" style="20"/>
    <col min="2557" max="2557" width="18" style="20" customWidth="1"/>
    <col min="2558" max="2558" width="29" style="20" bestFit="1" customWidth="1"/>
    <col min="2559" max="2559" width="13.23046875" style="20" bestFit="1" customWidth="1"/>
    <col min="2560" max="2560" width="12.23046875" style="20" bestFit="1" customWidth="1"/>
    <col min="2561" max="2561" width="24.23046875" style="20" bestFit="1" customWidth="1"/>
    <col min="2562" max="2562" width="10.23046875" style="20"/>
    <col min="2563" max="2563" width="14" style="20" customWidth="1"/>
    <col min="2564" max="2564" width="12" style="20" bestFit="1" customWidth="1"/>
    <col min="2565" max="2565" width="11.53515625" style="20" bestFit="1" customWidth="1"/>
    <col min="2566" max="2566" width="25.765625" style="20" customWidth="1"/>
    <col min="2567" max="2812" width="10.23046875" style="20"/>
    <col min="2813" max="2813" width="18" style="20" customWidth="1"/>
    <col min="2814" max="2814" width="29" style="20" bestFit="1" customWidth="1"/>
    <col min="2815" max="2815" width="13.23046875" style="20" bestFit="1" customWidth="1"/>
    <col min="2816" max="2816" width="12.23046875" style="20" bestFit="1" customWidth="1"/>
    <col min="2817" max="2817" width="24.23046875" style="20" bestFit="1" customWidth="1"/>
    <col min="2818" max="2818" width="10.23046875" style="20"/>
    <col min="2819" max="2819" width="14" style="20" customWidth="1"/>
    <col min="2820" max="2820" width="12" style="20" bestFit="1" customWidth="1"/>
    <col min="2821" max="2821" width="11.53515625" style="20" bestFit="1" customWidth="1"/>
    <col min="2822" max="2822" width="25.765625" style="20" customWidth="1"/>
    <col min="2823" max="3068" width="10.23046875" style="20"/>
    <col min="3069" max="3069" width="18" style="20" customWidth="1"/>
    <col min="3070" max="3070" width="29" style="20" bestFit="1" customWidth="1"/>
    <col min="3071" max="3071" width="13.23046875" style="20" bestFit="1" customWidth="1"/>
    <col min="3072" max="3072" width="12.23046875" style="20" bestFit="1" customWidth="1"/>
    <col min="3073" max="3073" width="24.23046875" style="20" bestFit="1" customWidth="1"/>
    <col min="3074" max="3074" width="10.23046875" style="20"/>
    <col min="3075" max="3075" width="14" style="20" customWidth="1"/>
    <col min="3076" max="3076" width="12" style="20" bestFit="1" customWidth="1"/>
    <col min="3077" max="3077" width="11.53515625" style="20" bestFit="1" customWidth="1"/>
    <col min="3078" max="3078" width="25.765625" style="20" customWidth="1"/>
    <col min="3079" max="3324" width="10.23046875" style="20"/>
    <col min="3325" max="3325" width="18" style="20" customWidth="1"/>
    <col min="3326" max="3326" width="29" style="20" bestFit="1" customWidth="1"/>
    <col min="3327" max="3327" width="13.23046875" style="20" bestFit="1" customWidth="1"/>
    <col min="3328" max="3328" width="12.23046875" style="20" bestFit="1" customWidth="1"/>
    <col min="3329" max="3329" width="24.23046875" style="20" bestFit="1" customWidth="1"/>
    <col min="3330" max="3330" width="10.23046875" style="20"/>
    <col min="3331" max="3331" width="14" style="20" customWidth="1"/>
    <col min="3332" max="3332" width="12" style="20" bestFit="1" customWidth="1"/>
    <col min="3333" max="3333" width="11.53515625" style="20" bestFit="1" customWidth="1"/>
    <col min="3334" max="3334" width="25.765625" style="20" customWidth="1"/>
    <col min="3335" max="3580" width="10.23046875" style="20"/>
    <col min="3581" max="3581" width="18" style="20" customWidth="1"/>
    <col min="3582" max="3582" width="29" style="20" bestFit="1" customWidth="1"/>
    <col min="3583" max="3583" width="13.23046875" style="20" bestFit="1" customWidth="1"/>
    <col min="3584" max="3584" width="12.23046875" style="20" bestFit="1" customWidth="1"/>
    <col min="3585" max="3585" width="24.23046875" style="20" bestFit="1" customWidth="1"/>
    <col min="3586" max="3586" width="10.23046875" style="20"/>
    <col min="3587" max="3587" width="14" style="20" customWidth="1"/>
    <col min="3588" max="3588" width="12" style="20" bestFit="1" customWidth="1"/>
    <col min="3589" max="3589" width="11.53515625" style="20" bestFit="1" customWidth="1"/>
    <col min="3590" max="3590" width="25.765625" style="20" customWidth="1"/>
    <col min="3591" max="3836" width="10.23046875" style="20"/>
    <col min="3837" max="3837" width="18" style="20" customWidth="1"/>
    <col min="3838" max="3838" width="29" style="20" bestFit="1" customWidth="1"/>
    <col min="3839" max="3839" width="13.23046875" style="20" bestFit="1" customWidth="1"/>
    <col min="3840" max="3840" width="12.23046875" style="20" bestFit="1" customWidth="1"/>
    <col min="3841" max="3841" width="24.23046875" style="20" bestFit="1" customWidth="1"/>
    <col min="3842" max="3842" width="10.23046875" style="20"/>
    <col min="3843" max="3843" width="14" style="20" customWidth="1"/>
    <col min="3844" max="3844" width="12" style="20" bestFit="1" customWidth="1"/>
    <col min="3845" max="3845" width="11.53515625" style="20" bestFit="1" customWidth="1"/>
    <col min="3846" max="3846" width="25.765625" style="20" customWidth="1"/>
    <col min="3847" max="4092" width="10.23046875" style="20"/>
    <col min="4093" max="4093" width="18" style="20" customWidth="1"/>
    <col min="4094" max="4094" width="29" style="20" bestFit="1" customWidth="1"/>
    <col min="4095" max="4095" width="13.23046875" style="20" bestFit="1" customWidth="1"/>
    <col min="4096" max="4096" width="12.23046875" style="20" bestFit="1" customWidth="1"/>
    <col min="4097" max="4097" width="24.23046875" style="20" bestFit="1" customWidth="1"/>
    <col min="4098" max="4098" width="10.23046875" style="20"/>
    <col min="4099" max="4099" width="14" style="20" customWidth="1"/>
    <col min="4100" max="4100" width="12" style="20" bestFit="1" customWidth="1"/>
    <col min="4101" max="4101" width="11.53515625" style="20" bestFit="1" customWidth="1"/>
    <col min="4102" max="4102" width="25.765625" style="20" customWidth="1"/>
    <col min="4103" max="4348" width="10.23046875" style="20"/>
    <col min="4349" max="4349" width="18" style="20" customWidth="1"/>
    <col min="4350" max="4350" width="29" style="20" bestFit="1" customWidth="1"/>
    <col min="4351" max="4351" width="13.23046875" style="20" bestFit="1" customWidth="1"/>
    <col min="4352" max="4352" width="12.23046875" style="20" bestFit="1" customWidth="1"/>
    <col min="4353" max="4353" width="24.23046875" style="20" bestFit="1" customWidth="1"/>
    <col min="4354" max="4354" width="10.23046875" style="20"/>
    <col min="4355" max="4355" width="14" style="20" customWidth="1"/>
    <col min="4356" max="4356" width="12" style="20" bestFit="1" customWidth="1"/>
    <col min="4357" max="4357" width="11.53515625" style="20" bestFit="1" customWidth="1"/>
    <col min="4358" max="4358" width="25.765625" style="20" customWidth="1"/>
    <col min="4359" max="4604" width="10.23046875" style="20"/>
    <col min="4605" max="4605" width="18" style="20" customWidth="1"/>
    <col min="4606" max="4606" width="29" style="20" bestFit="1" customWidth="1"/>
    <col min="4607" max="4607" width="13.23046875" style="20" bestFit="1" customWidth="1"/>
    <col min="4608" max="4608" width="12.23046875" style="20" bestFit="1" customWidth="1"/>
    <col min="4609" max="4609" width="24.23046875" style="20" bestFit="1" customWidth="1"/>
    <col min="4610" max="4610" width="10.23046875" style="20"/>
    <col min="4611" max="4611" width="14" style="20" customWidth="1"/>
    <col min="4612" max="4612" width="12" style="20" bestFit="1" customWidth="1"/>
    <col min="4613" max="4613" width="11.53515625" style="20" bestFit="1" customWidth="1"/>
    <col min="4614" max="4614" width="25.765625" style="20" customWidth="1"/>
    <col min="4615" max="4860" width="10.23046875" style="20"/>
    <col min="4861" max="4861" width="18" style="20" customWidth="1"/>
    <col min="4862" max="4862" width="29" style="20" bestFit="1" customWidth="1"/>
    <col min="4863" max="4863" width="13.23046875" style="20" bestFit="1" customWidth="1"/>
    <col min="4864" max="4864" width="12.23046875" style="20" bestFit="1" customWidth="1"/>
    <col min="4865" max="4865" width="24.23046875" style="20" bestFit="1" customWidth="1"/>
    <col min="4866" max="4866" width="10.23046875" style="20"/>
    <col min="4867" max="4867" width="14" style="20" customWidth="1"/>
    <col min="4868" max="4868" width="12" style="20" bestFit="1" customWidth="1"/>
    <col min="4869" max="4869" width="11.53515625" style="20" bestFit="1" customWidth="1"/>
    <col min="4870" max="4870" width="25.765625" style="20" customWidth="1"/>
    <col min="4871" max="5116" width="10.23046875" style="20"/>
    <col min="5117" max="5117" width="18" style="20" customWidth="1"/>
    <col min="5118" max="5118" width="29" style="20" bestFit="1" customWidth="1"/>
    <col min="5119" max="5119" width="13.23046875" style="20" bestFit="1" customWidth="1"/>
    <col min="5120" max="5120" width="12.23046875" style="20" bestFit="1" customWidth="1"/>
    <col min="5121" max="5121" width="24.23046875" style="20" bestFit="1" customWidth="1"/>
    <col min="5122" max="5122" width="10.23046875" style="20"/>
    <col min="5123" max="5123" width="14" style="20" customWidth="1"/>
    <col min="5124" max="5124" width="12" style="20" bestFit="1" customWidth="1"/>
    <col min="5125" max="5125" width="11.53515625" style="20" bestFit="1" customWidth="1"/>
    <col min="5126" max="5126" width="25.765625" style="20" customWidth="1"/>
    <col min="5127" max="5372" width="10.23046875" style="20"/>
    <col min="5373" max="5373" width="18" style="20" customWidth="1"/>
    <col min="5374" max="5374" width="29" style="20" bestFit="1" customWidth="1"/>
    <col min="5375" max="5375" width="13.23046875" style="20" bestFit="1" customWidth="1"/>
    <col min="5376" max="5376" width="12.23046875" style="20" bestFit="1" customWidth="1"/>
    <col min="5377" max="5377" width="24.23046875" style="20" bestFit="1" customWidth="1"/>
    <col min="5378" max="5378" width="10.23046875" style="20"/>
    <col min="5379" max="5379" width="14" style="20" customWidth="1"/>
    <col min="5380" max="5380" width="12" style="20" bestFit="1" customWidth="1"/>
    <col min="5381" max="5381" width="11.53515625" style="20" bestFit="1" customWidth="1"/>
    <col min="5382" max="5382" width="25.765625" style="20" customWidth="1"/>
    <col min="5383" max="5628" width="10.23046875" style="20"/>
    <col min="5629" max="5629" width="18" style="20" customWidth="1"/>
    <col min="5630" max="5630" width="29" style="20" bestFit="1" customWidth="1"/>
    <col min="5631" max="5631" width="13.23046875" style="20" bestFit="1" customWidth="1"/>
    <col min="5632" max="5632" width="12.23046875" style="20" bestFit="1" customWidth="1"/>
    <col min="5633" max="5633" width="24.23046875" style="20" bestFit="1" customWidth="1"/>
    <col min="5634" max="5634" width="10.23046875" style="20"/>
    <col min="5635" max="5635" width="14" style="20" customWidth="1"/>
    <col min="5636" max="5636" width="12" style="20" bestFit="1" customWidth="1"/>
    <col min="5637" max="5637" width="11.53515625" style="20" bestFit="1" customWidth="1"/>
    <col min="5638" max="5638" width="25.765625" style="20" customWidth="1"/>
    <col min="5639" max="5884" width="10.23046875" style="20"/>
    <col min="5885" max="5885" width="18" style="20" customWidth="1"/>
    <col min="5886" max="5886" width="29" style="20" bestFit="1" customWidth="1"/>
    <col min="5887" max="5887" width="13.23046875" style="20" bestFit="1" customWidth="1"/>
    <col min="5888" max="5888" width="12.23046875" style="20" bestFit="1" customWidth="1"/>
    <col min="5889" max="5889" width="24.23046875" style="20" bestFit="1" customWidth="1"/>
    <col min="5890" max="5890" width="10.23046875" style="20"/>
    <col min="5891" max="5891" width="14" style="20" customWidth="1"/>
    <col min="5892" max="5892" width="12" style="20" bestFit="1" customWidth="1"/>
    <col min="5893" max="5893" width="11.53515625" style="20" bestFit="1" customWidth="1"/>
    <col min="5894" max="5894" width="25.765625" style="20" customWidth="1"/>
    <col min="5895" max="6140" width="10.23046875" style="20"/>
    <col min="6141" max="6141" width="18" style="20" customWidth="1"/>
    <col min="6142" max="6142" width="29" style="20" bestFit="1" customWidth="1"/>
    <col min="6143" max="6143" width="13.23046875" style="20" bestFit="1" customWidth="1"/>
    <col min="6144" max="6144" width="12.23046875" style="20" bestFit="1" customWidth="1"/>
    <col min="6145" max="6145" width="24.23046875" style="20" bestFit="1" customWidth="1"/>
    <col min="6146" max="6146" width="10.23046875" style="20"/>
    <col min="6147" max="6147" width="14" style="20" customWidth="1"/>
    <col min="6148" max="6148" width="12" style="20" bestFit="1" customWidth="1"/>
    <col min="6149" max="6149" width="11.53515625" style="20" bestFit="1" customWidth="1"/>
    <col min="6150" max="6150" width="25.765625" style="20" customWidth="1"/>
    <col min="6151" max="6396" width="10.23046875" style="20"/>
    <col min="6397" max="6397" width="18" style="20" customWidth="1"/>
    <col min="6398" max="6398" width="29" style="20" bestFit="1" customWidth="1"/>
    <col min="6399" max="6399" width="13.23046875" style="20" bestFit="1" customWidth="1"/>
    <col min="6400" max="6400" width="12.23046875" style="20" bestFit="1" customWidth="1"/>
    <col min="6401" max="6401" width="24.23046875" style="20" bestFit="1" customWidth="1"/>
    <col min="6402" max="6402" width="10.23046875" style="20"/>
    <col min="6403" max="6403" width="14" style="20" customWidth="1"/>
    <col min="6404" max="6404" width="12" style="20" bestFit="1" customWidth="1"/>
    <col min="6405" max="6405" width="11.53515625" style="20" bestFit="1" customWidth="1"/>
    <col min="6406" max="6406" width="25.765625" style="20" customWidth="1"/>
    <col min="6407" max="6652" width="10.23046875" style="20"/>
    <col min="6653" max="6653" width="18" style="20" customWidth="1"/>
    <col min="6654" max="6654" width="29" style="20" bestFit="1" customWidth="1"/>
    <col min="6655" max="6655" width="13.23046875" style="20" bestFit="1" customWidth="1"/>
    <col min="6656" max="6656" width="12.23046875" style="20" bestFit="1" customWidth="1"/>
    <col min="6657" max="6657" width="24.23046875" style="20" bestFit="1" customWidth="1"/>
    <col min="6658" max="6658" width="10.23046875" style="20"/>
    <col min="6659" max="6659" width="14" style="20" customWidth="1"/>
    <col min="6660" max="6660" width="12" style="20" bestFit="1" customWidth="1"/>
    <col min="6661" max="6661" width="11.53515625" style="20" bestFit="1" customWidth="1"/>
    <col min="6662" max="6662" width="25.765625" style="20" customWidth="1"/>
    <col min="6663" max="6908" width="10.23046875" style="20"/>
    <col min="6909" max="6909" width="18" style="20" customWidth="1"/>
    <col min="6910" max="6910" width="29" style="20" bestFit="1" customWidth="1"/>
    <col min="6911" max="6911" width="13.23046875" style="20" bestFit="1" customWidth="1"/>
    <col min="6912" max="6912" width="12.23046875" style="20" bestFit="1" customWidth="1"/>
    <col min="6913" max="6913" width="24.23046875" style="20" bestFit="1" customWidth="1"/>
    <col min="6914" max="6914" width="10.23046875" style="20"/>
    <col min="6915" max="6915" width="14" style="20" customWidth="1"/>
    <col min="6916" max="6916" width="12" style="20" bestFit="1" customWidth="1"/>
    <col min="6917" max="6917" width="11.53515625" style="20" bestFit="1" customWidth="1"/>
    <col min="6918" max="6918" width="25.765625" style="20" customWidth="1"/>
    <col min="6919" max="7164" width="10.23046875" style="20"/>
    <col min="7165" max="7165" width="18" style="20" customWidth="1"/>
    <col min="7166" max="7166" width="29" style="20" bestFit="1" customWidth="1"/>
    <col min="7167" max="7167" width="13.23046875" style="20" bestFit="1" customWidth="1"/>
    <col min="7168" max="7168" width="12.23046875" style="20" bestFit="1" customWidth="1"/>
    <col min="7169" max="7169" width="24.23046875" style="20" bestFit="1" customWidth="1"/>
    <col min="7170" max="7170" width="10.23046875" style="20"/>
    <col min="7171" max="7171" width="14" style="20" customWidth="1"/>
    <col min="7172" max="7172" width="12" style="20" bestFit="1" customWidth="1"/>
    <col min="7173" max="7173" width="11.53515625" style="20" bestFit="1" customWidth="1"/>
    <col min="7174" max="7174" width="25.765625" style="20" customWidth="1"/>
    <col min="7175" max="7420" width="10.23046875" style="20"/>
    <col min="7421" max="7421" width="18" style="20" customWidth="1"/>
    <col min="7422" max="7422" width="29" style="20" bestFit="1" customWidth="1"/>
    <col min="7423" max="7423" width="13.23046875" style="20" bestFit="1" customWidth="1"/>
    <col min="7424" max="7424" width="12.23046875" style="20" bestFit="1" customWidth="1"/>
    <col min="7425" max="7425" width="24.23046875" style="20" bestFit="1" customWidth="1"/>
    <col min="7426" max="7426" width="10.23046875" style="20"/>
    <col min="7427" max="7427" width="14" style="20" customWidth="1"/>
    <col min="7428" max="7428" width="12" style="20" bestFit="1" customWidth="1"/>
    <col min="7429" max="7429" width="11.53515625" style="20" bestFit="1" customWidth="1"/>
    <col min="7430" max="7430" width="25.765625" style="20" customWidth="1"/>
    <col min="7431" max="7676" width="10.23046875" style="20"/>
    <col min="7677" max="7677" width="18" style="20" customWidth="1"/>
    <col min="7678" max="7678" width="29" style="20" bestFit="1" customWidth="1"/>
    <col min="7679" max="7679" width="13.23046875" style="20" bestFit="1" customWidth="1"/>
    <col min="7680" max="7680" width="12.23046875" style="20" bestFit="1" customWidth="1"/>
    <col min="7681" max="7681" width="24.23046875" style="20" bestFit="1" customWidth="1"/>
    <col min="7682" max="7682" width="10.23046875" style="20"/>
    <col min="7683" max="7683" width="14" style="20" customWidth="1"/>
    <col min="7684" max="7684" width="12" style="20" bestFit="1" customWidth="1"/>
    <col min="7685" max="7685" width="11.53515625" style="20" bestFit="1" customWidth="1"/>
    <col min="7686" max="7686" width="25.765625" style="20" customWidth="1"/>
    <col min="7687" max="7932" width="10.23046875" style="20"/>
    <col min="7933" max="7933" width="18" style="20" customWidth="1"/>
    <col min="7934" max="7934" width="29" style="20" bestFit="1" customWidth="1"/>
    <col min="7935" max="7935" width="13.23046875" style="20" bestFit="1" customWidth="1"/>
    <col min="7936" max="7936" width="12.23046875" style="20" bestFit="1" customWidth="1"/>
    <col min="7937" max="7937" width="24.23046875" style="20" bestFit="1" customWidth="1"/>
    <col min="7938" max="7938" width="10.23046875" style="20"/>
    <col min="7939" max="7939" width="14" style="20" customWidth="1"/>
    <col min="7940" max="7940" width="12" style="20" bestFit="1" customWidth="1"/>
    <col min="7941" max="7941" width="11.53515625" style="20" bestFit="1" customWidth="1"/>
    <col min="7942" max="7942" width="25.765625" style="20" customWidth="1"/>
    <col min="7943" max="8188" width="10.23046875" style="20"/>
    <col min="8189" max="8189" width="18" style="20" customWidth="1"/>
    <col min="8190" max="8190" width="29" style="20" bestFit="1" customWidth="1"/>
    <col min="8191" max="8191" width="13.23046875" style="20" bestFit="1" customWidth="1"/>
    <col min="8192" max="8192" width="12.23046875" style="20" bestFit="1" customWidth="1"/>
    <col min="8193" max="8193" width="24.23046875" style="20" bestFit="1" customWidth="1"/>
    <col min="8194" max="8194" width="10.23046875" style="20"/>
    <col min="8195" max="8195" width="14" style="20" customWidth="1"/>
    <col min="8196" max="8196" width="12" style="20" bestFit="1" customWidth="1"/>
    <col min="8197" max="8197" width="11.53515625" style="20" bestFit="1" customWidth="1"/>
    <col min="8198" max="8198" width="25.765625" style="20" customWidth="1"/>
    <col min="8199" max="8444" width="10.23046875" style="20"/>
    <col min="8445" max="8445" width="18" style="20" customWidth="1"/>
    <col min="8446" max="8446" width="29" style="20" bestFit="1" customWidth="1"/>
    <col min="8447" max="8447" width="13.23046875" style="20" bestFit="1" customWidth="1"/>
    <col min="8448" max="8448" width="12.23046875" style="20" bestFit="1" customWidth="1"/>
    <col min="8449" max="8449" width="24.23046875" style="20" bestFit="1" customWidth="1"/>
    <col min="8450" max="8450" width="10.23046875" style="20"/>
    <col min="8451" max="8451" width="14" style="20" customWidth="1"/>
    <col min="8452" max="8452" width="12" style="20" bestFit="1" customWidth="1"/>
    <col min="8453" max="8453" width="11.53515625" style="20" bestFit="1" customWidth="1"/>
    <col min="8454" max="8454" width="25.765625" style="20" customWidth="1"/>
    <col min="8455" max="8700" width="10.23046875" style="20"/>
    <col min="8701" max="8701" width="18" style="20" customWidth="1"/>
    <col min="8702" max="8702" width="29" style="20" bestFit="1" customWidth="1"/>
    <col min="8703" max="8703" width="13.23046875" style="20" bestFit="1" customWidth="1"/>
    <col min="8704" max="8704" width="12.23046875" style="20" bestFit="1" customWidth="1"/>
    <col min="8705" max="8705" width="24.23046875" style="20" bestFit="1" customWidth="1"/>
    <col min="8706" max="8706" width="10.23046875" style="20"/>
    <col min="8707" max="8707" width="14" style="20" customWidth="1"/>
    <col min="8708" max="8708" width="12" style="20" bestFit="1" customWidth="1"/>
    <col min="8709" max="8709" width="11.53515625" style="20" bestFit="1" customWidth="1"/>
    <col min="8710" max="8710" width="25.765625" style="20" customWidth="1"/>
    <col min="8711" max="8956" width="10.23046875" style="20"/>
    <col min="8957" max="8957" width="18" style="20" customWidth="1"/>
    <col min="8958" max="8958" width="29" style="20" bestFit="1" customWidth="1"/>
    <col min="8959" max="8959" width="13.23046875" style="20" bestFit="1" customWidth="1"/>
    <col min="8960" max="8960" width="12.23046875" style="20" bestFit="1" customWidth="1"/>
    <col min="8961" max="8961" width="24.23046875" style="20" bestFit="1" customWidth="1"/>
    <col min="8962" max="8962" width="10.23046875" style="20"/>
    <col min="8963" max="8963" width="14" style="20" customWidth="1"/>
    <col min="8964" max="8964" width="12" style="20" bestFit="1" customWidth="1"/>
    <col min="8965" max="8965" width="11.53515625" style="20" bestFit="1" customWidth="1"/>
    <col min="8966" max="8966" width="25.765625" style="20" customWidth="1"/>
    <col min="8967" max="9212" width="10.23046875" style="20"/>
    <col min="9213" max="9213" width="18" style="20" customWidth="1"/>
    <col min="9214" max="9214" width="29" style="20" bestFit="1" customWidth="1"/>
    <col min="9215" max="9215" width="13.23046875" style="20" bestFit="1" customWidth="1"/>
    <col min="9216" max="9216" width="12.23046875" style="20" bestFit="1" customWidth="1"/>
    <col min="9217" max="9217" width="24.23046875" style="20" bestFit="1" customWidth="1"/>
    <col min="9218" max="9218" width="10.23046875" style="20"/>
    <col min="9219" max="9219" width="14" style="20" customWidth="1"/>
    <col min="9220" max="9220" width="12" style="20" bestFit="1" customWidth="1"/>
    <col min="9221" max="9221" width="11.53515625" style="20" bestFit="1" customWidth="1"/>
    <col min="9222" max="9222" width="25.765625" style="20" customWidth="1"/>
    <col min="9223" max="9468" width="10.23046875" style="20"/>
    <col min="9469" max="9469" width="18" style="20" customWidth="1"/>
    <col min="9470" max="9470" width="29" style="20" bestFit="1" customWidth="1"/>
    <col min="9471" max="9471" width="13.23046875" style="20" bestFit="1" customWidth="1"/>
    <col min="9472" max="9472" width="12.23046875" style="20" bestFit="1" customWidth="1"/>
    <col min="9473" max="9473" width="24.23046875" style="20" bestFit="1" customWidth="1"/>
    <col min="9474" max="9474" width="10.23046875" style="20"/>
    <col min="9475" max="9475" width="14" style="20" customWidth="1"/>
    <col min="9476" max="9476" width="12" style="20" bestFit="1" customWidth="1"/>
    <col min="9477" max="9477" width="11.53515625" style="20" bestFit="1" customWidth="1"/>
    <col min="9478" max="9478" width="25.765625" style="20" customWidth="1"/>
    <col min="9479" max="9724" width="10.23046875" style="20"/>
    <col min="9725" max="9725" width="18" style="20" customWidth="1"/>
    <col min="9726" max="9726" width="29" style="20" bestFit="1" customWidth="1"/>
    <col min="9727" max="9727" width="13.23046875" style="20" bestFit="1" customWidth="1"/>
    <col min="9728" max="9728" width="12.23046875" style="20" bestFit="1" customWidth="1"/>
    <col min="9729" max="9729" width="24.23046875" style="20" bestFit="1" customWidth="1"/>
    <col min="9730" max="9730" width="10.23046875" style="20"/>
    <col min="9731" max="9731" width="14" style="20" customWidth="1"/>
    <col min="9732" max="9732" width="12" style="20" bestFit="1" customWidth="1"/>
    <col min="9733" max="9733" width="11.53515625" style="20" bestFit="1" customWidth="1"/>
    <col min="9734" max="9734" width="25.765625" style="20" customWidth="1"/>
    <col min="9735" max="9980" width="10.23046875" style="20"/>
    <col min="9981" max="9981" width="18" style="20" customWidth="1"/>
    <col min="9982" max="9982" width="29" style="20" bestFit="1" customWidth="1"/>
    <col min="9983" max="9983" width="13.23046875" style="20" bestFit="1" customWidth="1"/>
    <col min="9984" max="9984" width="12.23046875" style="20" bestFit="1" customWidth="1"/>
    <col min="9985" max="9985" width="24.23046875" style="20" bestFit="1" customWidth="1"/>
    <col min="9986" max="9986" width="10.23046875" style="20"/>
    <col min="9987" max="9987" width="14" style="20" customWidth="1"/>
    <col min="9988" max="9988" width="12" style="20" bestFit="1" customWidth="1"/>
    <col min="9989" max="9989" width="11.53515625" style="20" bestFit="1" customWidth="1"/>
    <col min="9990" max="9990" width="25.765625" style="20" customWidth="1"/>
    <col min="9991" max="10236" width="10.23046875" style="20"/>
    <col min="10237" max="10237" width="18" style="20" customWidth="1"/>
    <col min="10238" max="10238" width="29" style="20" bestFit="1" customWidth="1"/>
    <col min="10239" max="10239" width="13.23046875" style="20" bestFit="1" customWidth="1"/>
    <col min="10240" max="10240" width="12.23046875" style="20" bestFit="1" customWidth="1"/>
    <col min="10241" max="10241" width="24.23046875" style="20" bestFit="1" customWidth="1"/>
    <col min="10242" max="10242" width="10.23046875" style="20"/>
    <col min="10243" max="10243" width="14" style="20" customWidth="1"/>
    <col min="10244" max="10244" width="12" style="20" bestFit="1" customWidth="1"/>
    <col min="10245" max="10245" width="11.53515625" style="20" bestFit="1" customWidth="1"/>
    <col min="10246" max="10246" width="25.765625" style="20" customWidth="1"/>
    <col min="10247" max="10492" width="10.23046875" style="20"/>
    <col min="10493" max="10493" width="18" style="20" customWidth="1"/>
    <col min="10494" max="10494" width="29" style="20" bestFit="1" customWidth="1"/>
    <col min="10495" max="10495" width="13.23046875" style="20" bestFit="1" customWidth="1"/>
    <col min="10496" max="10496" width="12.23046875" style="20" bestFit="1" customWidth="1"/>
    <col min="10497" max="10497" width="24.23046875" style="20" bestFit="1" customWidth="1"/>
    <col min="10498" max="10498" width="10.23046875" style="20"/>
    <col min="10499" max="10499" width="14" style="20" customWidth="1"/>
    <col min="10500" max="10500" width="12" style="20" bestFit="1" customWidth="1"/>
    <col min="10501" max="10501" width="11.53515625" style="20" bestFit="1" customWidth="1"/>
    <col min="10502" max="10502" width="25.765625" style="20" customWidth="1"/>
    <col min="10503" max="10748" width="10.23046875" style="20"/>
    <col min="10749" max="10749" width="18" style="20" customWidth="1"/>
    <col min="10750" max="10750" width="29" style="20" bestFit="1" customWidth="1"/>
    <col min="10751" max="10751" width="13.23046875" style="20" bestFit="1" customWidth="1"/>
    <col min="10752" max="10752" width="12.23046875" style="20" bestFit="1" customWidth="1"/>
    <col min="10753" max="10753" width="24.23046875" style="20" bestFit="1" customWidth="1"/>
    <col min="10754" max="10754" width="10.23046875" style="20"/>
    <col min="10755" max="10755" width="14" style="20" customWidth="1"/>
    <col min="10756" max="10756" width="12" style="20" bestFit="1" customWidth="1"/>
    <col min="10757" max="10757" width="11.53515625" style="20" bestFit="1" customWidth="1"/>
    <col min="10758" max="10758" width="25.765625" style="20" customWidth="1"/>
    <col min="10759" max="11004" width="10.23046875" style="20"/>
    <col min="11005" max="11005" width="18" style="20" customWidth="1"/>
    <col min="11006" max="11006" width="29" style="20" bestFit="1" customWidth="1"/>
    <col min="11007" max="11007" width="13.23046875" style="20" bestFit="1" customWidth="1"/>
    <col min="11008" max="11008" width="12.23046875" style="20" bestFit="1" customWidth="1"/>
    <col min="11009" max="11009" width="24.23046875" style="20" bestFit="1" customWidth="1"/>
    <col min="11010" max="11010" width="10.23046875" style="20"/>
    <col min="11011" max="11011" width="14" style="20" customWidth="1"/>
    <col min="11012" max="11012" width="12" style="20" bestFit="1" customWidth="1"/>
    <col min="11013" max="11013" width="11.53515625" style="20" bestFit="1" customWidth="1"/>
    <col min="11014" max="11014" width="25.765625" style="20" customWidth="1"/>
    <col min="11015" max="11260" width="10.23046875" style="20"/>
    <col min="11261" max="11261" width="18" style="20" customWidth="1"/>
    <col min="11262" max="11262" width="29" style="20" bestFit="1" customWidth="1"/>
    <col min="11263" max="11263" width="13.23046875" style="20" bestFit="1" customWidth="1"/>
    <col min="11264" max="11264" width="12.23046875" style="20" bestFit="1" customWidth="1"/>
    <col min="11265" max="11265" width="24.23046875" style="20" bestFit="1" customWidth="1"/>
    <col min="11266" max="11266" width="10.23046875" style="20"/>
    <col min="11267" max="11267" width="14" style="20" customWidth="1"/>
    <col min="11268" max="11268" width="12" style="20" bestFit="1" customWidth="1"/>
    <col min="11269" max="11269" width="11.53515625" style="20" bestFit="1" customWidth="1"/>
    <col min="11270" max="11270" width="25.765625" style="20" customWidth="1"/>
    <col min="11271" max="11516" width="10.23046875" style="20"/>
    <col min="11517" max="11517" width="18" style="20" customWidth="1"/>
    <col min="11518" max="11518" width="29" style="20" bestFit="1" customWidth="1"/>
    <col min="11519" max="11519" width="13.23046875" style="20" bestFit="1" customWidth="1"/>
    <col min="11520" max="11520" width="12.23046875" style="20" bestFit="1" customWidth="1"/>
    <col min="11521" max="11521" width="24.23046875" style="20" bestFit="1" customWidth="1"/>
    <col min="11522" max="11522" width="10.23046875" style="20"/>
    <col min="11523" max="11523" width="14" style="20" customWidth="1"/>
    <col min="11524" max="11524" width="12" style="20" bestFit="1" customWidth="1"/>
    <col min="11525" max="11525" width="11.53515625" style="20" bestFit="1" customWidth="1"/>
    <col min="11526" max="11526" width="25.765625" style="20" customWidth="1"/>
    <col min="11527" max="11772" width="10.23046875" style="20"/>
    <col min="11773" max="11773" width="18" style="20" customWidth="1"/>
    <col min="11774" max="11774" width="29" style="20" bestFit="1" customWidth="1"/>
    <col min="11775" max="11775" width="13.23046875" style="20" bestFit="1" customWidth="1"/>
    <col min="11776" max="11776" width="12.23046875" style="20" bestFit="1" customWidth="1"/>
    <col min="11777" max="11777" width="24.23046875" style="20" bestFit="1" customWidth="1"/>
    <col min="11778" max="11778" width="10.23046875" style="20"/>
    <col min="11779" max="11779" width="14" style="20" customWidth="1"/>
    <col min="11780" max="11780" width="12" style="20" bestFit="1" customWidth="1"/>
    <col min="11781" max="11781" width="11.53515625" style="20" bestFit="1" customWidth="1"/>
    <col min="11782" max="11782" width="25.765625" style="20" customWidth="1"/>
    <col min="11783" max="12028" width="10.23046875" style="20"/>
    <col min="12029" max="12029" width="18" style="20" customWidth="1"/>
    <col min="12030" max="12030" width="29" style="20" bestFit="1" customWidth="1"/>
    <col min="12031" max="12031" width="13.23046875" style="20" bestFit="1" customWidth="1"/>
    <col min="12032" max="12032" width="12.23046875" style="20" bestFit="1" customWidth="1"/>
    <col min="12033" max="12033" width="24.23046875" style="20" bestFit="1" customWidth="1"/>
    <col min="12034" max="12034" width="10.23046875" style="20"/>
    <col min="12035" max="12035" width="14" style="20" customWidth="1"/>
    <col min="12036" max="12036" width="12" style="20" bestFit="1" customWidth="1"/>
    <col min="12037" max="12037" width="11.53515625" style="20" bestFit="1" customWidth="1"/>
    <col min="12038" max="12038" width="25.765625" style="20" customWidth="1"/>
    <col min="12039" max="12284" width="10.23046875" style="20"/>
    <col min="12285" max="12285" width="18" style="20" customWidth="1"/>
    <col min="12286" max="12286" width="29" style="20" bestFit="1" customWidth="1"/>
    <col min="12287" max="12287" width="13.23046875" style="20" bestFit="1" customWidth="1"/>
    <col min="12288" max="12288" width="12.23046875" style="20" bestFit="1" customWidth="1"/>
    <col min="12289" max="12289" width="24.23046875" style="20" bestFit="1" customWidth="1"/>
    <col min="12290" max="12290" width="10.23046875" style="20"/>
    <col min="12291" max="12291" width="14" style="20" customWidth="1"/>
    <col min="12292" max="12292" width="12" style="20" bestFit="1" customWidth="1"/>
    <col min="12293" max="12293" width="11.53515625" style="20" bestFit="1" customWidth="1"/>
    <col min="12294" max="12294" width="25.765625" style="20" customWidth="1"/>
    <col min="12295" max="12540" width="10.23046875" style="20"/>
    <col min="12541" max="12541" width="18" style="20" customWidth="1"/>
    <col min="12542" max="12542" width="29" style="20" bestFit="1" customWidth="1"/>
    <col min="12543" max="12543" width="13.23046875" style="20" bestFit="1" customWidth="1"/>
    <col min="12544" max="12544" width="12.23046875" style="20" bestFit="1" customWidth="1"/>
    <col min="12545" max="12545" width="24.23046875" style="20" bestFit="1" customWidth="1"/>
    <col min="12546" max="12546" width="10.23046875" style="20"/>
    <col min="12547" max="12547" width="14" style="20" customWidth="1"/>
    <col min="12548" max="12548" width="12" style="20" bestFit="1" customWidth="1"/>
    <col min="12549" max="12549" width="11.53515625" style="20" bestFit="1" customWidth="1"/>
    <col min="12550" max="12550" width="25.765625" style="20" customWidth="1"/>
    <col min="12551" max="12796" width="10.23046875" style="20"/>
    <col min="12797" max="12797" width="18" style="20" customWidth="1"/>
    <col min="12798" max="12798" width="29" style="20" bestFit="1" customWidth="1"/>
    <col min="12799" max="12799" width="13.23046875" style="20" bestFit="1" customWidth="1"/>
    <col min="12800" max="12800" width="12.23046875" style="20" bestFit="1" customWidth="1"/>
    <col min="12801" max="12801" width="24.23046875" style="20" bestFit="1" customWidth="1"/>
    <col min="12802" max="12802" width="10.23046875" style="20"/>
    <col min="12803" max="12803" width="14" style="20" customWidth="1"/>
    <col min="12804" max="12804" width="12" style="20" bestFit="1" customWidth="1"/>
    <col min="12805" max="12805" width="11.53515625" style="20" bestFit="1" customWidth="1"/>
    <col min="12806" max="12806" width="25.765625" style="20" customWidth="1"/>
    <col min="12807" max="13052" width="10.23046875" style="20"/>
    <col min="13053" max="13053" width="18" style="20" customWidth="1"/>
    <col min="13054" max="13054" width="29" style="20" bestFit="1" customWidth="1"/>
    <col min="13055" max="13055" width="13.23046875" style="20" bestFit="1" customWidth="1"/>
    <col min="13056" max="13056" width="12.23046875" style="20" bestFit="1" customWidth="1"/>
    <col min="13057" max="13057" width="24.23046875" style="20" bestFit="1" customWidth="1"/>
    <col min="13058" max="13058" width="10.23046875" style="20"/>
    <col min="13059" max="13059" width="14" style="20" customWidth="1"/>
    <col min="13060" max="13060" width="12" style="20" bestFit="1" customWidth="1"/>
    <col min="13061" max="13061" width="11.53515625" style="20" bestFit="1" customWidth="1"/>
    <col min="13062" max="13062" width="25.765625" style="20" customWidth="1"/>
    <col min="13063" max="13308" width="10.23046875" style="20"/>
    <col min="13309" max="13309" width="18" style="20" customWidth="1"/>
    <col min="13310" max="13310" width="29" style="20" bestFit="1" customWidth="1"/>
    <col min="13311" max="13311" width="13.23046875" style="20" bestFit="1" customWidth="1"/>
    <col min="13312" max="13312" width="12.23046875" style="20" bestFit="1" customWidth="1"/>
    <col min="13313" max="13313" width="24.23046875" style="20" bestFit="1" customWidth="1"/>
    <col min="13314" max="13314" width="10.23046875" style="20"/>
    <col min="13315" max="13315" width="14" style="20" customWidth="1"/>
    <col min="13316" max="13316" width="12" style="20" bestFit="1" customWidth="1"/>
    <col min="13317" max="13317" width="11.53515625" style="20" bestFit="1" customWidth="1"/>
    <col min="13318" max="13318" width="25.765625" style="20" customWidth="1"/>
    <col min="13319" max="13564" width="10.23046875" style="20"/>
    <col min="13565" max="13565" width="18" style="20" customWidth="1"/>
    <col min="13566" max="13566" width="29" style="20" bestFit="1" customWidth="1"/>
    <col min="13567" max="13567" width="13.23046875" style="20" bestFit="1" customWidth="1"/>
    <col min="13568" max="13568" width="12.23046875" style="20" bestFit="1" customWidth="1"/>
    <col min="13569" max="13569" width="24.23046875" style="20" bestFit="1" customWidth="1"/>
    <col min="13570" max="13570" width="10.23046875" style="20"/>
    <col min="13571" max="13571" width="14" style="20" customWidth="1"/>
    <col min="13572" max="13572" width="12" style="20" bestFit="1" customWidth="1"/>
    <col min="13573" max="13573" width="11.53515625" style="20" bestFit="1" customWidth="1"/>
    <col min="13574" max="13574" width="25.765625" style="20" customWidth="1"/>
    <col min="13575" max="13820" width="10.23046875" style="20"/>
    <col min="13821" max="13821" width="18" style="20" customWidth="1"/>
    <col min="13822" max="13822" width="29" style="20" bestFit="1" customWidth="1"/>
    <col min="13823" max="13823" width="13.23046875" style="20" bestFit="1" customWidth="1"/>
    <col min="13824" max="13824" width="12.23046875" style="20" bestFit="1" customWidth="1"/>
    <col min="13825" max="13825" width="24.23046875" style="20" bestFit="1" customWidth="1"/>
    <col min="13826" max="13826" width="10.23046875" style="20"/>
    <col min="13827" max="13827" width="14" style="20" customWidth="1"/>
    <col min="13828" max="13828" width="12" style="20" bestFit="1" customWidth="1"/>
    <col min="13829" max="13829" width="11.53515625" style="20" bestFit="1" customWidth="1"/>
    <col min="13830" max="13830" width="25.765625" style="20" customWidth="1"/>
    <col min="13831" max="14076" width="10.23046875" style="20"/>
    <col min="14077" max="14077" width="18" style="20" customWidth="1"/>
    <col min="14078" max="14078" width="29" style="20" bestFit="1" customWidth="1"/>
    <col min="14079" max="14079" width="13.23046875" style="20" bestFit="1" customWidth="1"/>
    <col min="14080" max="14080" width="12.23046875" style="20" bestFit="1" customWidth="1"/>
    <col min="14081" max="14081" width="24.23046875" style="20" bestFit="1" customWidth="1"/>
    <col min="14082" max="14082" width="10.23046875" style="20"/>
    <col min="14083" max="14083" width="14" style="20" customWidth="1"/>
    <col min="14084" max="14084" width="12" style="20" bestFit="1" customWidth="1"/>
    <col min="14085" max="14085" width="11.53515625" style="20" bestFit="1" customWidth="1"/>
    <col min="14086" max="14086" width="25.765625" style="20" customWidth="1"/>
    <col min="14087" max="14332" width="10.23046875" style="20"/>
    <col min="14333" max="14333" width="18" style="20" customWidth="1"/>
    <col min="14334" max="14334" width="29" style="20" bestFit="1" customWidth="1"/>
    <col min="14335" max="14335" width="13.23046875" style="20" bestFit="1" customWidth="1"/>
    <col min="14336" max="14336" width="12.23046875" style="20" bestFit="1" customWidth="1"/>
    <col min="14337" max="14337" width="24.23046875" style="20" bestFit="1" customWidth="1"/>
    <col min="14338" max="14338" width="10.23046875" style="20"/>
    <col min="14339" max="14339" width="14" style="20" customWidth="1"/>
    <col min="14340" max="14340" width="12" style="20" bestFit="1" customWidth="1"/>
    <col min="14341" max="14341" width="11.53515625" style="20" bestFit="1" customWidth="1"/>
    <col min="14342" max="14342" width="25.765625" style="20" customWidth="1"/>
    <col min="14343" max="14588" width="10.23046875" style="20"/>
    <col min="14589" max="14589" width="18" style="20" customWidth="1"/>
    <col min="14590" max="14590" width="29" style="20" bestFit="1" customWidth="1"/>
    <col min="14591" max="14591" width="13.23046875" style="20" bestFit="1" customWidth="1"/>
    <col min="14592" max="14592" width="12.23046875" style="20" bestFit="1" customWidth="1"/>
    <col min="14593" max="14593" width="24.23046875" style="20" bestFit="1" customWidth="1"/>
    <col min="14594" max="14594" width="10.23046875" style="20"/>
    <col min="14595" max="14595" width="14" style="20" customWidth="1"/>
    <col min="14596" max="14596" width="12" style="20" bestFit="1" customWidth="1"/>
    <col min="14597" max="14597" width="11.53515625" style="20" bestFit="1" customWidth="1"/>
    <col min="14598" max="14598" width="25.765625" style="20" customWidth="1"/>
    <col min="14599" max="14844" width="10.23046875" style="20"/>
    <col min="14845" max="14845" width="18" style="20" customWidth="1"/>
    <col min="14846" max="14846" width="29" style="20" bestFit="1" customWidth="1"/>
    <col min="14847" max="14847" width="13.23046875" style="20" bestFit="1" customWidth="1"/>
    <col min="14848" max="14848" width="12.23046875" style="20" bestFit="1" customWidth="1"/>
    <col min="14849" max="14849" width="24.23046875" style="20" bestFit="1" customWidth="1"/>
    <col min="14850" max="14850" width="10.23046875" style="20"/>
    <col min="14851" max="14851" width="14" style="20" customWidth="1"/>
    <col min="14852" max="14852" width="12" style="20" bestFit="1" customWidth="1"/>
    <col min="14853" max="14853" width="11.53515625" style="20" bestFit="1" customWidth="1"/>
    <col min="14854" max="14854" width="25.765625" style="20" customWidth="1"/>
    <col min="14855" max="15100" width="10.23046875" style="20"/>
    <col min="15101" max="15101" width="18" style="20" customWidth="1"/>
    <col min="15102" max="15102" width="29" style="20" bestFit="1" customWidth="1"/>
    <col min="15103" max="15103" width="13.23046875" style="20" bestFit="1" customWidth="1"/>
    <col min="15104" max="15104" width="12.23046875" style="20" bestFit="1" customWidth="1"/>
    <col min="15105" max="15105" width="24.23046875" style="20" bestFit="1" customWidth="1"/>
    <col min="15106" max="15106" width="10.23046875" style="20"/>
    <col min="15107" max="15107" width="14" style="20" customWidth="1"/>
    <col min="15108" max="15108" width="12" style="20" bestFit="1" customWidth="1"/>
    <col min="15109" max="15109" width="11.53515625" style="20" bestFit="1" customWidth="1"/>
    <col min="15110" max="15110" width="25.765625" style="20" customWidth="1"/>
    <col min="15111" max="15356" width="10.23046875" style="20"/>
    <col min="15357" max="15357" width="18" style="20" customWidth="1"/>
    <col min="15358" max="15358" width="29" style="20" bestFit="1" customWidth="1"/>
    <col min="15359" max="15359" width="13.23046875" style="20" bestFit="1" customWidth="1"/>
    <col min="15360" max="15360" width="12.23046875" style="20" bestFit="1" customWidth="1"/>
    <col min="15361" max="15361" width="24.23046875" style="20" bestFit="1" customWidth="1"/>
    <col min="15362" max="15362" width="10.23046875" style="20"/>
    <col min="15363" max="15363" width="14" style="20" customWidth="1"/>
    <col min="15364" max="15364" width="12" style="20" bestFit="1" customWidth="1"/>
    <col min="15365" max="15365" width="11.53515625" style="20" bestFit="1" customWidth="1"/>
    <col min="15366" max="15366" width="25.765625" style="20" customWidth="1"/>
    <col min="15367" max="15612" width="10.23046875" style="20"/>
    <col min="15613" max="15613" width="18" style="20" customWidth="1"/>
    <col min="15614" max="15614" width="29" style="20" bestFit="1" customWidth="1"/>
    <col min="15615" max="15615" width="13.23046875" style="20" bestFit="1" customWidth="1"/>
    <col min="15616" max="15616" width="12.23046875" style="20" bestFit="1" customWidth="1"/>
    <col min="15617" max="15617" width="24.23046875" style="20" bestFit="1" customWidth="1"/>
    <col min="15618" max="15618" width="10.23046875" style="20"/>
    <col min="15619" max="15619" width="14" style="20" customWidth="1"/>
    <col min="15620" max="15620" width="12" style="20" bestFit="1" customWidth="1"/>
    <col min="15621" max="15621" width="11.53515625" style="20" bestFit="1" customWidth="1"/>
    <col min="15622" max="15622" width="25.765625" style="20" customWidth="1"/>
    <col min="15623" max="15868" width="10.23046875" style="20"/>
    <col min="15869" max="15869" width="18" style="20" customWidth="1"/>
    <col min="15870" max="15870" width="29" style="20" bestFit="1" customWidth="1"/>
    <col min="15871" max="15871" width="13.23046875" style="20" bestFit="1" customWidth="1"/>
    <col min="15872" max="15872" width="12.23046875" style="20" bestFit="1" customWidth="1"/>
    <col min="15873" max="15873" width="24.23046875" style="20" bestFit="1" customWidth="1"/>
    <col min="15874" max="15874" width="10.23046875" style="20"/>
    <col min="15875" max="15875" width="14" style="20" customWidth="1"/>
    <col min="15876" max="15876" width="12" style="20" bestFit="1" customWidth="1"/>
    <col min="15877" max="15877" width="11.53515625" style="20" bestFit="1" customWidth="1"/>
    <col min="15878" max="15878" width="25.765625" style="20" customWidth="1"/>
    <col min="15879" max="16124" width="10.23046875" style="20"/>
    <col min="16125" max="16125" width="18" style="20" customWidth="1"/>
    <col min="16126" max="16126" width="29" style="20" bestFit="1" customWidth="1"/>
    <col min="16127" max="16127" width="13.23046875" style="20" bestFit="1" customWidth="1"/>
    <col min="16128" max="16128" width="12.23046875" style="20" bestFit="1" customWidth="1"/>
    <col min="16129" max="16129" width="24.23046875" style="20" bestFit="1" customWidth="1"/>
    <col min="16130" max="16130" width="10.23046875" style="20"/>
    <col min="16131" max="16131" width="14" style="20" customWidth="1"/>
    <col min="16132" max="16132" width="12" style="20" bestFit="1" customWidth="1"/>
    <col min="16133" max="16133" width="11.53515625" style="20" bestFit="1" customWidth="1"/>
    <col min="16134" max="16134" width="25.765625" style="20" customWidth="1"/>
    <col min="16135" max="16384" width="10.23046875" style="20"/>
  </cols>
  <sheetData>
    <row r="2" spans="2:171" ht="26.15" thickBot="1" x14ac:dyDescent="1.1499999999999999">
      <c r="B2" s="704" t="s">
        <v>5951</v>
      </c>
      <c r="C2" s="704"/>
    </row>
    <row r="3" spans="2:171" ht="19.75" x14ac:dyDescent="0.75">
      <c r="B3" s="705" t="s">
        <v>3</v>
      </c>
      <c r="C3" s="575" t="s">
        <v>603</v>
      </c>
      <c r="D3" s="323">
        <v>1406</v>
      </c>
      <c r="E3" s="483">
        <f>+D3+1</f>
        <v>1407</v>
      </c>
      <c r="F3" s="483">
        <f>+E3+1</f>
        <v>1408</v>
      </c>
      <c r="G3" s="483">
        <f t="shared" ref="G3:G4" si="0">+F3+1</f>
        <v>1409</v>
      </c>
      <c r="H3" s="483">
        <f t="shared" ref="H3:H4" si="1">+G3+1</f>
        <v>1410</v>
      </c>
      <c r="I3" s="483">
        <f t="shared" ref="I3:I4" si="2">+H3+1</f>
        <v>1411</v>
      </c>
      <c r="J3" s="483">
        <f t="shared" ref="J3:J4" si="3">+I3+1</f>
        <v>1412</v>
      </c>
      <c r="K3" s="483">
        <f t="shared" ref="K3:K4" si="4">+J3+1</f>
        <v>1413</v>
      </c>
      <c r="L3" s="483">
        <f t="shared" ref="L3:L4" si="5">+K3+1</f>
        <v>1414</v>
      </c>
      <c r="M3" s="483">
        <f t="shared" ref="M3:M4" si="6">+L3+1</f>
        <v>1415</v>
      </c>
      <c r="N3" s="483">
        <f t="shared" ref="N3:N4" si="7">+M3+1</f>
        <v>1416</v>
      </c>
      <c r="O3" s="483">
        <f t="shared" ref="O3:O4" si="8">+N3+1</f>
        <v>1417</v>
      </c>
      <c r="P3" s="483">
        <f t="shared" ref="P3:P4" si="9">+O3+1</f>
        <v>1418</v>
      </c>
      <c r="Q3" s="483">
        <f t="shared" ref="Q3:Q4" si="10">+P3+1</f>
        <v>1419</v>
      </c>
      <c r="R3" s="484">
        <f t="shared" ref="R3:R4" si="11">+Q3+1</f>
        <v>1420</v>
      </c>
    </row>
    <row r="4" spans="2:171" ht="19.75" x14ac:dyDescent="0.75">
      <c r="B4" s="608"/>
      <c r="C4" s="314" t="s">
        <v>604</v>
      </c>
      <c r="D4" s="312">
        <f>0</f>
        <v>0</v>
      </c>
      <c r="E4" s="312">
        <f t="shared" ref="E4" si="12">+D4+1</f>
        <v>1</v>
      </c>
      <c r="F4" s="312">
        <f>+E4+1</f>
        <v>2</v>
      </c>
      <c r="G4" s="312">
        <f t="shared" si="0"/>
        <v>3</v>
      </c>
      <c r="H4" s="312">
        <f t="shared" si="1"/>
        <v>4</v>
      </c>
      <c r="I4" s="312">
        <f t="shared" si="2"/>
        <v>5</v>
      </c>
      <c r="J4" s="312">
        <f t="shared" si="3"/>
        <v>6</v>
      </c>
      <c r="K4" s="312">
        <f t="shared" si="4"/>
        <v>7</v>
      </c>
      <c r="L4" s="312">
        <f t="shared" si="5"/>
        <v>8</v>
      </c>
      <c r="M4" s="312">
        <f t="shared" si="6"/>
        <v>9</v>
      </c>
      <c r="N4" s="312">
        <f t="shared" si="7"/>
        <v>10</v>
      </c>
      <c r="O4" s="312">
        <f t="shared" si="8"/>
        <v>11</v>
      </c>
      <c r="P4" s="312">
        <f t="shared" si="9"/>
        <v>12</v>
      </c>
      <c r="Q4" s="312">
        <f t="shared" si="10"/>
        <v>13</v>
      </c>
      <c r="R4" s="313">
        <f t="shared" si="11"/>
        <v>14</v>
      </c>
    </row>
    <row r="5" spans="2:171" ht="21" customHeight="1" thickBot="1" x14ac:dyDescent="0.8">
      <c r="B5" s="764" t="s">
        <v>5887</v>
      </c>
      <c r="C5" s="471" t="str">
        <f>'انتخاب سناریو و وضعيت بازار'!B8</f>
        <v>فروش برق</v>
      </c>
      <c r="D5" s="515">
        <v>0</v>
      </c>
      <c r="E5" s="518">
        <f>E15*'برآورد محصول'!$D$43*هزار/میلیون</f>
        <v>0</v>
      </c>
      <c r="F5" s="518">
        <f>F15*'برآورد محصول'!$D$43*هزار/میلیون</f>
        <v>0</v>
      </c>
      <c r="G5" s="518">
        <f>G15*'برآورد محصول'!$D$43*هزار/میلیون</f>
        <v>0</v>
      </c>
      <c r="H5" s="518">
        <f>H15*'برآورد محصول'!$D$43*هزار/میلیون</f>
        <v>0</v>
      </c>
      <c r="I5" s="518">
        <f>I15*'برآورد محصول'!$D$43*هزار/میلیون</f>
        <v>0</v>
      </c>
      <c r="J5" s="518">
        <f>J15*'برآورد محصول'!$D$43*هزار/میلیون</f>
        <v>0</v>
      </c>
      <c r="K5" s="518">
        <f>K15*'برآورد محصول'!$D$43*هزار/میلیون</f>
        <v>0</v>
      </c>
      <c r="L5" s="518">
        <f>L15*'برآورد محصول'!$D$43*هزار/میلیون</f>
        <v>0</v>
      </c>
      <c r="M5" s="518">
        <f>M15*'برآورد محصول'!$D$43*هزار/میلیون</f>
        <v>0</v>
      </c>
      <c r="N5" s="518">
        <f>N15*'برآورد محصول'!$D$43*هزار/میلیون</f>
        <v>0</v>
      </c>
      <c r="O5" s="518">
        <f>O15*'برآورد محصول'!$D$43*هزار/میلیون</f>
        <v>0</v>
      </c>
      <c r="P5" s="518">
        <f>P15*'برآورد محصول'!$D$43*هزار/میلیون</f>
        <v>0</v>
      </c>
      <c r="Q5" s="518">
        <f>Q15*'برآورد محصول'!$D$43*هزار/میلیون</f>
        <v>0</v>
      </c>
      <c r="R5" s="519">
        <f>R15*'برآورد محصول'!$D$43*هزار/میلیون</f>
        <v>0</v>
      </c>
    </row>
    <row r="6" spans="2:171" ht="21" customHeight="1" thickBot="1" x14ac:dyDescent="0.8">
      <c r="B6" s="765"/>
      <c r="C6" s="471" t="str">
        <f>'انتخاب سناریو و وضعيت بازار'!B9</f>
        <v>استخراج رمز ارز</v>
      </c>
      <c r="D6" s="515">
        <v>0</v>
      </c>
      <c r="E6" s="518">
        <f>SUM(AB28:AM28)*('داده‌های ورودی'!$D$29/'تبديل واحد و اعداد ثابت'!$D$4)/میلیون</f>
        <v>2.3859592607818212</v>
      </c>
      <c r="F6" s="518">
        <f>SUM(AN28:AY28)*('داده‌های ورودی'!$D$29/'تبديل واحد و اعداد ثابت'!$D$4)/میلیون</f>
        <v>2.5817921255559129</v>
      </c>
      <c r="G6" s="518">
        <f>SUM(AZ28:BK28)*('داده‌های ورودی'!$D$29/'تبديل واحد و اعداد ثابت'!$D$4)/میلیون</f>
        <v>1.3554366897085317</v>
      </c>
      <c r="H6" s="518">
        <f>SUM(BL28:BW28)*('داده‌های ورودی'!$D$29/'تبديل واحد و اعداد ثابت'!$D$4)/میلیون</f>
        <v>1.423245018568708</v>
      </c>
      <c r="I6" s="518">
        <f>SUM(BX28:CI28)*('داده‌های ورودی'!$D$29/'تبديل واحد و اعداد ثابت'!$D$4)/میلیون</f>
        <v>1.4942899829937164</v>
      </c>
      <c r="J6" s="518">
        <f>SUM(CJ28:CU28)*('داده‌های ورودی'!$D$29/'تبديل واحد و اعداد ثابت'!$D$4)/میلیون</f>
        <v>1.5687145983570026</v>
      </c>
      <c r="K6" s="518">
        <f>SUM(CV28:DG28)*('داده‌های ورودی'!$D$29/'تبديل واحد و اعداد ثابت'!$D$4)/میلیون</f>
        <v>0.8342597323530262</v>
      </c>
      <c r="L6" s="518">
        <f>SUM(DH28:DS28)*('داده‌های ورودی'!$D$29/'تبديل واحد و اعداد ثابت'!$D$4)/میلیون</f>
        <v>0.89695705831902162</v>
      </c>
      <c r="M6" s="518">
        <f>SUM(DT28:EE28)*('داده‌های ورودی'!$D$29/'تبديل واحد و اعداد ثابت'!$D$4)/میلیون</f>
        <v>0.96425715118282129</v>
      </c>
      <c r="N6" s="518">
        <f>SUM(EF28:EQ28)*('داده‌های ورودی'!$D$29/'تبديل واحد و اعداد ثابت'!$D$4)/میلیون</f>
        <v>1.0364870226159444</v>
      </c>
      <c r="O6" s="518">
        <f>SUM(ER28:FC28)*('داده‌های ورودی'!$D$29/'تبديل واحد و اعداد ثابت'!$D$4)/میلیون</f>
        <v>0.53926155373657381</v>
      </c>
      <c r="P6" s="518">
        <f>SUM(FD28:FO28)*('داده‌های ورودی'!$D$29/'تبديل واحد و اعداد ثابت'!$D$4)/میلیون</f>
        <v>0.54617356446560805</v>
      </c>
      <c r="Q6" s="518">
        <f>SUM(FP28:GA28)*('داده‌های ورودی'!$D$29/'تبديل واحد و اعداد ثابت'!$D$4)/میلیون</f>
        <v>0.5531058771149584</v>
      </c>
      <c r="R6" s="519">
        <f>SUM(GB28:GM28)*('داده‌های ورودی'!$D$29/'تبديل واحد و اعداد ثابت'!$D$4)/میلیون</f>
        <v>0.56005546412828811</v>
      </c>
    </row>
    <row r="7" spans="2:171" ht="21" customHeight="1" thickBot="1" x14ac:dyDescent="0.8">
      <c r="B7" s="766"/>
      <c r="C7" s="471" t="str">
        <f>'انتخاب سناریو و وضعيت بازار'!B10</f>
        <v>گاز مایع و استخراج رمزارز</v>
      </c>
      <c r="D7" s="515">
        <v>0</v>
      </c>
      <c r="E7" s="518">
        <f>E$17*'برآورد محصول'!$D$90*'داده‌های ورودی'!$D$29/میلیون</f>
        <v>0</v>
      </c>
      <c r="F7" s="518">
        <f>F$17*'برآورد محصول'!$D$90*'داده‌های ورودی'!$D$29/میلیون</f>
        <v>0</v>
      </c>
      <c r="G7" s="518">
        <f>G$17*'برآورد محصول'!$D$90*'داده‌های ورودی'!$D$29/میلیون</f>
        <v>0</v>
      </c>
      <c r="H7" s="518">
        <f>H$17*'برآورد محصول'!$D$90*'داده‌های ورودی'!$D$29/میلیون</f>
        <v>0</v>
      </c>
      <c r="I7" s="518">
        <f>I$17*'برآورد محصول'!$D$90*'داده‌های ورودی'!$D$29/میلیون</f>
        <v>0</v>
      </c>
      <c r="J7" s="518">
        <f>J$17*'برآورد محصول'!$D$90*'داده‌های ورودی'!$D$29/میلیون</f>
        <v>0</v>
      </c>
      <c r="K7" s="518">
        <f>K$17*'برآورد محصول'!$D$90*'داده‌های ورودی'!$D$29/میلیون</f>
        <v>0</v>
      </c>
      <c r="L7" s="518">
        <f>L$17*'برآورد محصول'!$D$90*'داده‌های ورودی'!$D$29/میلیون</f>
        <v>0</v>
      </c>
      <c r="M7" s="518">
        <f>M$17*'برآورد محصول'!$D$90*'داده‌های ورودی'!$D$29/میلیون</f>
        <v>0</v>
      </c>
      <c r="N7" s="518">
        <f>N$17*'برآورد محصول'!$D$90*'داده‌های ورودی'!$D$29/میلیون</f>
        <v>0</v>
      </c>
      <c r="O7" s="518">
        <f>O$17*'برآورد محصول'!$D$90*'داده‌های ورودی'!$D$29/میلیون</f>
        <v>0</v>
      </c>
      <c r="P7" s="518">
        <f>P$17*'برآورد محصول'!$D$90*'داده‌های ورودی'!$D$29/میلیون</f>
        <v>0</v>
      </c>
      <c r="Q7" s="518">
        <f>Q$17*'برآورد محصول'!$D$90*'داده‌های ورودی'!$D$29/میلیون</f>
        <v>0</v>
      </c>
      <c r="R7" s="519">
        <f>R$17*'برآورد محصول'!$D$90*'داده‌های ورودی'!$D$29/میلیون</f>
        <v>0</v>
      </c>
    </row>
    <row r="8" spans="2:171" ht="20.149999999999999" thickBot="1" x14ac:dyDescent="0.8">
      <c r="B8" s="486" t="s">
        <v>5826</v>
      </c>
      <c r="C8" s="487" t="s">
        <v>369</v>
      </c>
      <c r="D8" s="461">
        <v>0</v>
      </c>
      <c r="E8" s="460">
        <f>SUM(E5:E7)</f>
        <v>2.3859592607818212</v>
      </c>
      <c r="F8" s="460">
        <f t="shared" ref="F8:R8" si="13">SUM(F5:F7)</f>
        <v>2.5817921255559129</v>
      </c>
      <c r="G8" s="460">
        <f t="shared" si="13"/>
        <v>1.3554366897085317</v>
      </c>
      <c r="H8" s="460">
        <f t="shared" si="13"/>
        <v>1.423245018568708</v>
      </c>
      <c r="I8" s="460">
        <f t="shared" si="13"/>
        <v>1.4942899829937164</v>
      </c>
      <c r="J8" s="460">
        <f t="shared" si="13"/>
        <v>1.5687145983570026</v>
      </c>
      <c r="K8" s="460">
        <f t="shared" si="13"/>
        <v>0.8342597323530262</v>
      </c>
      <c r="L8" s="460">
        <f t="shared" si="13"/>
        <v>0.89695705831902162</v>
      </c>
      <c r="M8" s="460">
        <f t="shared" si="13"/>
        <v>0.96425715118282129</v>
      </c>
      <c r="N8" s="460">
        <f t="shared" si="13"/>
        <v>1.0364870226159444</v>
      </c>
      <c r="O8" s="460">
        <f t="shared" si="13"/>
        <v>0.53926155373657381</v>
      </c>
      <c r="P8" s="460">
        <f t="shared" si="13"/>
        <v>0.54617356446560805</v>
      </c>
      <c r="Q8" s="460">
        <f t="shared" si="13"/>
        <v>0.5531058771149584</v>
      </c>
      <c r="R8" s="516">
        <f t="shared" si="13"/>
        <v>0.56005546412828811</v>
      </c>
    </row>
    <row r="9" spans="2:171" ht="19.75" x14ac:dyDescent="0.75">
      <c r="B9" s="512"/>
      <c r="C9" s="513"/>
      <c r="D9" s="481"/>
      <c r="E9" s="514"/>
      <c r="F9" s="514"/>
      <c r="G9" s="514"/>
      <c r="H9" s="514"/>
      <c r="I9" s="514"/>
      <c r="J9" s="514"/>
      <c r="K9" s="514"/>
      <c r="L9" s="514"/>
      <c r="M9" s="514"/>
      <c r="N9" s="514"/>
      <c r="O9" s="514"/>
      <c r="P9" s="514"/>
      <c r="Q9" s="514"/>
      <c r="R9" s="514"/>
    </row>
    <row r="10" spans="2:171" ht="18.899999999999999" hidden="1" thickBot="1" x14ac:dyDescent="0.8">
      <c r="B10" s="479"/>
      <c r="C10" s="480"/>
      <c r="D10" s="481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</row>
    <row r="11" spans="2:171" ht="19.75" hidden="1" x14ac:dyDescent="0.75">
      <c r="B11" s="607" t="s">
        <v>20</v>
      </c>
      <c r="C11" s="520" t="s">
        <v>5817</v>
      </c>
      <c r="D11" s="525" t="str">
        <f>'داده‌های ورودی'!$B$6</f>
        <v>دوره ساخت</v>
      </c>
      <c r="E11" s="739" t="str">
        <f>'داده‌های ورودی'!$B$7</f>
        <v>دوره بهره‌برداري اول</v>
      </c>
      <c r="F11" s="739"/>
      <c r="G11" s="739"/>
      <c r="H11" s="739"/>
      <c r="I11" s="740" t="str">
        <f>'داده‌های ورودی'!$B$8</f>
        <v>دوره بهره‌برداري دوم</v>
      </c>
      <c r="J11" s="740"/>
      <c r="K11" s="740"/>
      <c r="L11" s="740"/>
      <c r="M11" s="740"/>
      <c r="N11" s="740"/>
      <c r="O11" s="740"/>
      <c r="P11" s="740"/>
      <c r="Q11" s="740"/>
      <c r="R11" s="741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</row>
    <row r="12" spans="2:171" ht="19.75" hidden="1" x14ac:dyDescent="0.75">
      <c r="B12" s="608"/>
      <c r="C12" s="521" t="s">
        <v>5899</v>
      </c>
      <c r="D12" s="729" t="str">
        <f>'داده‌های ورودی'!$B$13</f>
        <v>دوره اول استخراج</v>
      </c>
      <c r="E12" s="730"/>
      <c r="F12" s="730"/>
      <c r="G12" s="742" t="str">
        <f>'داده‌های ورودی'!$B$14</f>
        <v>دوره دوم استخراج</v>
      </c>
      <c r="H12" s="742"/>
      <c r="I12" s="742"/>
      <c r="J12" s="742"/>
      <c r="K12" s="743" t="str">
        <f>'داده‌های ورودی'!$B$15</f>
        <v>دوره سوم استخراج</v>
      </c>
      <c r="L12" s="743"/>
      <c r="M12" s="743"/>
      <c r="N12" s="743"/>
      <c r="O12" s="744" t="str">
        <f>'داده‌های ورودی'!$B$16</f>
        <v>دوره چهام استخراج</v>
      </c>
      <c r="P12" s="744"/>
      <c r="Q12" s="744"/>
      <c r="R12" s="745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</row>
    <row r="13" spans="2:171" ht="19.75" hidden="1" x14ac:dyDescent="0.75">
      <c r="B13" s="608"/>
      <c r="C13" s="522" t="s">
        <v>603</v>
      </c>
      <c r="D13" s="311">
        <v>1406</v>
      </c>
      <c r="E13" s="312">
        <f>+D13+1</f>
        <v>1407</v>
      </c>
      <c r="F13" s="312">
        <f>+E13+1</f>
        <v>1408</v>
      </c>
      <c r="G13" s="312">
        <f t="shared" ref="G13:R13" si="14">+F13+1</f>
        <v>1409</v>
      </c>
      <c r="H13" s="312">
        <f t="shared" si="14"/>
        <v>1410</v>
      </c>
      <c r="I13" s="312">
        <f t="shared" si="14"/>
        <v>1411</v>
      </c>
      <c r="J13" s="312">
        <f t="shared" si="14"/>
        <v>1412</v>
      </c>
      <c r="K13" s="312">
        <f t="shared" si="14"/>
        <v>1413</v>
      </c>
      <c r="L13" s="312">
        <f t="shared" si="14"/>
        <v>1414</v>
      </c>
      <c r="M13" s="312">
        <f t="shared" si="14"/>
        <v>1415</v>
      </c>
      <c r="N13" s="312">
        <f t="shared" si="14"/>
        <v>1416</v>
      </c>
      <c r="O13" s="312">
        <f t="shared" si="14"/>
        <v>1417</v>
      </c>
      <c r="P13" s="312">
        <f t="shared" si="14"/>
        <v>1418</v>
      </c>
      <c r="Q13" s="312">
        <f t="shared" si="14"/>
        <v>1419</v>
      </c>
      <c r="R13" s="313">
        <f t="shared" si="14"/>
        <v>1420</v>
      </c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</row>
    <row r="14" spans="2:171" ht="19.75" hidden="1" x14ac:dyDescent="0.75">
      <c r="B14" s="608"/>
      <c r="C14" s="522" t="s">
        <v>604</v>
      </c>
      <c r="D14" s="526">
        <f>0</f>
        <v>0</v>
      </c>
      <c r="E14" s="312">
        <f t="shared" ref="E14" si="15">+D14+1</f>
        <v>1</v>
      </c>
      <c r="F14" s="312">
        <f>+E14+1</f>
        <v>2</v>
      </c>
      <c r="G14" s="312">
        <f t="shared" ref="G14" si="16">+F14+1</f>
        <v>3</v>
      </c>
      <c r="H14" s="312">
        <f t="shared" ref="H14" si="17">+G14+1</f>
        <v>4</v>
      </c>
      <c r="I14" s="312">
        <f t="shared" ref="I14" si="18">+H14+1</f>
        <v>5</v>
      </c>
      <c r="J14" s="312">
        <f t="shared" ref="J14" si="19">+I14+1</f>
        <v>6</v>
      </c>
      <c r="K14" s="312">
        <f t="shared" ref="K14" si="20">+J14+1</f>
        <v>7</v>
      </c>
      <c r="L14" s="312">
        <f t="shared" ref="L14" si="21">+K14+1</f>
        <v>8</v>
      </c>
      <c r="M14" s="312">
        <f t="shared" ref="M14" si="22">+L14+1</f>
        <v>9</v>
      </c>
      <c r="N14" s="312">
        <f t="shared" ref="N14" si="23">+M14+1</f>
        <v>10</v>
      </c>
      <c r="O14" s="312">
        <f t="shared" ref="O14" si="24">+N14+1</f>
        <v>11</v>
      </c>
      <c r="P14" s="312">
        <f t="shared" ref="P14" si="25">+O14+1</f>
        <v>12</v>
      </c>
      <c r="Q14" s="312">
        <f t="shared" ref="Q14" si="26">+P14+1</f>
        <v>13</v>
      </c>
      <c r="R14" s="313">
        <f t="shared" ref="R14" si="27">+Q14+1</f>
        <v>14</v>
      </c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</row>
    <row r="15" spans="2:171" ht="19.75" hidden="1" x14ac:dyDescent="0.75">
      <c r="B15" s="762" t="s">
        <v>5900</v>
      </c>
      <c r="C15" s="523" t="s">
        <v>5886</v>
      </c>
      <c r="D15" s="527">
        <v>0</v>
      </c>
      <c r="E15" s="518">
        <f>'برآورد محصول'!$D$76*روزانه*'داده‌های ورودی'!$D$29*'برآوردهاي پايه'!D$5*'انتخاب سناریو و وضعيت بازار'!$D$16</f>
        <v>0</v>
      </c>
      <c r="F15" s="518">
        <f>'برآورد محصول'!$D$76*روزانه*'داده‌های ورودی'!$D$29*'برآوردهاي پايه'!E$5*'انتخاب سناریو و وضعيت بازار'!$D$16</f>
        <v>0</v>
      </c>
      <c r="G15" s="518">
        <f>'برآورد محصول'!$D$76*روزانه*'داده‌های ورودی'!$D$29*'برآوردهاي پايه'!F$5*'انتخاب سناریو و وضعيت بازار'!$D$16</f>
        <v>0</v>
      </c>
      <c r="H15" s="518">
        <f>'برآورد محصول'!$D$76*روزانه*'داده‌های ورودی'!$D$29*'برآوردهاي پايه'!G$5*'انتخاب سناریو و وضعيت بازار'!$D$16</f>
        <v>0</v>
      </c>
      <c r="I15" s="518">
        <f>'برآورد محصول'!$D$76*روزانه*'داده‌های ورودی'!$D$29*'برآوردهاي پايه'!H$5*'انتخاب سناریو و وضعيت بازار'!$D$16</f>
        <v>0</v>
      </c>
      <c r="J15" s="518">
        <f>'برآورد محصول'!$D$76*روزانه*'داده‌های ورودی'!$D$29*'برآوردهاي پايه'!I$5*'انتخاب سناریو و وضعيت بازار'!$D$16</f>
        <v>0</v>
      </c>
      <c r="K15" s="518">
        <f>'برآورد محصول'!$D$76*روزانه*'داده‌های ورودی'!$D$29*'برآوردهاي پايه'!J$5*'انتخاب سناریو و وضعيت بازار'!$D$16</f>
        <v>0</v>
      </c>
      <c r="L15" s="518">
        <f>'برآورد محصول'!$D$76*روزانه*'داده‌های ورودی'!$D$29*'برآوردهاي پايه'!K$5*'انتخاب سناریو و وضعيت بازار'!$D$16</f>
        <v>0</v>
      </c>
      <c r="M15" s="518">
        <f>'برآورد محصول'!$D$76*روزانه*'داده‌های ورودی'!$D$29*'برآوردهاي پايه'!L$5*'انتخاب سناریو و وضعيت بازار'!$D$16</f>
        <v>0</v>
      </c>
      <c r="N15" s="518">
        <f>'برآورد محصول'!$D$76*روزانه*'داده‌های ورودی'!$D$29*'برآوردهاي پايه'!M$5*'انتخاب سناریو و وضعيت بازار'!$D$16</f>
        <v>0</v>
      </c>
      <c r="O15" s="518">
        <f>'برآورد محصول'!$D$76*روزانه*'داده‌های ورودی'!$D$29*'برآوردهاي پايه'!N$5*'انتخاب سناریو و وضعيت بازار'!$D$16</f>
        <v>0</v>
      </c>
      <c r="P15" s="518">
        <f>'برآورد محصول'!$D$76*روزانه*'داده‌های ورودی'!$D$29*'برآوردهاي پايه'!O$5*'انتخاب سناریو و وضعيت بازار'!$D$16</f>
        <v>0</v>
      </c>
      <c r="Q15" s="518">
        <f>'برآورد محصول'!$D$76*روزانه*'داده‌های ورودی'!$D$29*'برآوردهاي پايه'!P$5*'انتخاب سناریو و وضعيت بازار'!$D$16</f>
        <v>0</v>
      </c>
      <c r="R15" s="519">
        <f>'برآورد محصول'!$D$76*روزانه*'داده‌های ورودی'!$D$29*'برآوردهاي پايه'!Q$5*'انتخاب سناریو و وضعيت بازار'!$D$16</f>
        <v>0</v>
      </c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</row>
    <row r="16" spans="2:171" ht="19.75" hidden="1" x14ac:dyDescent="0.75">
      <c r="B16" s="762"/>
      <c r="C16" s="523" t="s">
        <v>378</v>
      </c>
      <c r="D16" s="527">
        <v>0</v>
      </c>
      <c r="E16" s="518">
        <f>SUM(AB26:AM26)*('داده‌های ورودی'!$D$29/'تبديل واحد و اعداد ثابت'!$D$4)*'انتخاب سناریو و وضعيت بازار'!$E$16</f>
        <v>14.074971611389113</v>
      </c>
      <c r="F16" s="518">
        <f>SUM(AC26:AN26)*('داده‌های ورودی'!$D$29/'تبديل واحد و اعداد ثابت'!$D$4)*'انتخاب سناریو و وضعيت بازار'!$E$16</f>
        <v>13.819988658741321</v>
      </c>
      <c r="G16" s="518">
        <f>SUM(AD26:AO26)*('داده‌های ورودی'!$D$29/'تبديل واحد و اعداد ثابت'!$D$4)*'انتخاب سناریو و وضعيت بازار'!$E$16</f>
        <v>13.570005371831721</v>
      </c>
      <c r="H16" s="518">
        <f>SUM(AE26:AP26)*'برآوردهاي پايه'!G5*('داده‌های ورودی'!$D$29/'تبديل واحد و اعداد ثابت'!$D$4)*'انتخاب سناریو و وضعيت بازار'!$E$16</f>
        <v>13.058425243638803</v>
      </c>
      <c r="I16" s="518">
        <f>SUM(AF26:AQ26)*('داده‌های ورودی'!$D$29/'تبديل واحد و اعداد ثابت'!$D$4)*'انتخاب سناریو و وضعيت بازار'!$E$16</f>
        <v>13.084647586790014</v>
      </c>
      <c r="J16" s="518">
        <f>SUM(AG26:AR26)*('داده‌های ورودی'!$D$29/'تبديل واحد و اعداد ثابت'!$D$4)*'انتخاب سناریو و وضعيت بازار'!$E$16</f>
        <v>12.849082752271613</v>
      </c>
      <c r="K16" s="518">
        <f>SUM(AH26:AS26)*('داده‌های ورودی'!$D$29/'تبديل واحد و اعداد ثابت'!$D$4)*'انتخاب سناریو و وضعيت بازار'!$E$16</f>
        <v>12.618136836077104</v>
      </c>
      <c r="L16" s="518">
        <f>SUM(AI26:AT26)*('داده‌های ورودی'!$D$29/'تبديل واحد و اعداد ثابت'!$D$4)*'انتخاب سناریو و وضعيت بازار'!$E$16</f>
        <v>12.391719271180529</v>
      </c>
      <c r="M16" s="518">
        <f>SUM(AJ26:AU26)*('داده‌های ورودی'!$D$29/'تبديل واحد و اعداد ثابت'!$D$4)*'انتخاب سناریو و وضعيت بازار'!$E$16</f>
        <v>12.169741266379965</v>
      </c>
      <c r="N16" s="518">
        <f>SUM(AK26:AV26)*('داده‌های ورودی'!$D$29/'تبديل واحد و اعداد ثابت'!$D$4)*'انتخاب سناریو و وضعيت بازار'!$E$16</f>
        <v>11.95211577147745</v>
      </c>
      <c r="O16" s="518">
        <f>SUM(AL26:AW26)*('داده‌های ورودی'!$D$29/'تبديل واحد و اعداد ثابت'!$D$4)*'انتخاب سناریو و وضعيت بازار'!$E$16</f>
        <v>11.738757443141651</v>
      </c>
      <c r="P16" s="518">
        <f>SUM(AM26:AX26)*('داده‌های ورودی'!$D$29/'تبديل واحد و اعداد ثابت'!$D$4)*'انتخاب سناریو و وضعيت بازار'!$E$16</f>
        <v>11.529582611439887</v>
      </c>
      <c r="Q16" s="518">
        <f>SUM(AN26:AY26)*('داده‌های ورودی'!$D$29/'تبديل واحد و اعداد ثابت'!$D$4)*'انتخاب سناریو و وضعيت بازار'!$E$16</f>
        <v>11.324509247026395</v>
      </c>
      <c r="R16" s="519">
        <f>SUM(AO26:AZ26)*('داده‌های ورودی'!$D$29/'تبديل واحد و اعداد ثابت'!$D$4)*'انتخاب سناریو و وضعيت بازار'!$E$16</f>
        <v>10.686442114872936</v>
      </c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</row>
    <row r="17" spans="2:195" ht="20.149999999999999" hidden="1" thickBot="1" x14ac:dyDescent="0.8">
      <c r="B17" s="763"/>
      <c r="C17" s="524" t="s">
        <v>5824</v>
      </c>
      <c r="D17" s="528">
        <v>0</v>
      </c>
      <c r="E17" s="485">
        <f>SUM('برآورد محصول'!$D$15+'برآورد محصول'!$D$20)*'برآوردهاي پايه'!D$5</f>
        <v>0</v>
      </c>
      <c r="F17" s="485">
        <f>SUM('برآورد محصول'!$D$15+'برآورد محصول'!$D$20)*'برآوردهاي پايه'!E$5</f>
        <v>0</v>
      </c>
      <c r="G17" s="485">
        <f>SUM('برآورد محصول'!$D$15+'برآورد محصول'!$D$20)*'برآوردهاي پايه'!F$5</f>
        <v>0</v>
      </c>
      <c r="H17" s="485">
        <f>SUM('برآورد محصول'!$D$15+'برآورد محصول'!$D$20)*'برآوردهاي پايه'!G$5</f>
        <v>0</v>
      </c>
      <c r="I17" s="485">
        <f>SUM('برآورد محصول'!$D$15+'برآورد محصول'!$D$20)*'برآوردهاي پايه'!H$5</f>
        <v>0</v>
      </c>
      <c r="J17" s="485">
        <f>SUM('برآورد محصول'!$D$15+'برآورد محصول'!$D$20)*'برآوردهاي پايه'!I$5</f>
        <v>0</v>
      </c>
      <c r="K17" s="485">
        <f>SUM('برآورد محصول'!$D$15+'برآورد محصول'!$D$20)*'برآوردهاي پايه'!J$5</f>
        <v>0</v>
      </c>
      <c r="L17" s="485">
        <f>SUM('برآورد محصول'!$D$15+'برآورد محصول'!$D$20)*'برآوردهاي پايه'!K$5</f>
        <v>0</v>
      </c>
      <c r="M17" s="485">
        <f>SUM('برآورد محصول'!$D$15+'برآورد محصول'!$D$20)*'برآوردهاي پايه'!L$5</f>
        <v>0</v>
      </c>
      <c r="N17" s="485">
        <f>SUM('برآورد محصول'!$D$15+'برآورد محصول'!$D$20)*'برآوردهاي پايه'!M$5</f>
        <v>0</v>
      </c>
      <c r="O17" s="485">
        <f>SUM('برآورد محصول'!$D$15+'برآورد محصول'!$D$20)*'برآوردهاي پايه'!N$5</f>
        <v>0</v>
      </c>
      <c r="P17" s="485">
        <f>SUM('برآورد محصول'!$D$15+'برآورد محصول'!$D$20)*'برآوردهاي پايه'!O$5</f>
        <v>0</v>
      </c>
      <c r="Q17" s="485">
        <f>SUM('برآورد محصول'!$D$15+'برآورد محصول'!$D$20)*'برآوردهاي پايه'!P$5</f>
        <v>0</v>
      </c>
      <c r="R17" s="517">
        <f>SUM('برآورد محصول'!$D$15+'برآورد محصول'!$D$20)*'برآوردهاي پايه'!Q$5</f>
        <v>0</v>
      </c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</row>
    <row r="18" spans="2:195" hidden="1" x14ac:dyDescent="0.75"/>
    <row r="19" spans="2:195" ht="18.899999999999999" hidden="1" thickBot="1" x14ac:dyDescent="0.8"/>
    <row r="20" spans="2:195" ht="23.6" hidden="1" thickBot="1" x14ac:dyDescent="0.8">
      <c r="B20" s="746" t="s">
        <v>20</v>
      </c>
      <c r="C20" s="455" t="s">
        <v>5817</v>
      </c>
      <c r="D20" s="736" t="s">
        <v>5806</v>
      </c>
      <c r="E20" s="737"/>
      <c r="F20" s="737"/>
      <c r="G20" s="737"/>
      <c r="H20" s="737"/>
      <c r="I20" s="737"/>
      <c r="J20" s="737"/>
      <c r="K20" s="737"/>
      <c r="L20" s="737"/>
      <c r="M20" s="737"/>
      <c r="N20" s="737"/>
      <c r="O20" s="738"/>
      <c r="P20" s="758" t="s">
        <v>214</v>
      </c>
      <c r="Q20" s="759"/>
      <c r="R20" s="759"/>
      <c r="S20" s="759"/>
      <c r="T20" s="759"/>
      <c r="U20" s="759"/>
      <c r="V20" s="759"/>
      <c r="W20" s="759"/>
      <c r="X20" s="759"/>
      <c r="Y20" s="759"/>
      <c r="Z20" s="759"/>
      <c r="AA20" s="760"/>
      <c r="AB20" s="750" t="str">
        <f>'داده‌های ورودی'!$B$7</f>
        <v>دوره بهره‌برداري اول</v>
      </c>
      <c r="AC20" s="751"/>
      <c r="AD20" s="751"/>
      <c r="AE20" s="751"/>
      <c r="AF20" s="751"/>
      <c r="AG20" s="751"/>
      <c r="AH20" s="751"/>
      <c r="AI20" s="751"/>
      <c r="AJ20" s="751"/>
      <c r="AK20" s="751"/>
      <c r="AL20" s="751"/>
      <c r="AM20" s="751"/>
      <c r="AN20" s="751"/>
      <c r="AO20" s="751"/>
      <c r="AP20" s="751"/>
      <c r="AQ20" s="751"/>
      <c r="AR20" s="751"/>
      <c r="AS20" s="751"/>
      <c r="AT20" s="751"/>
      <c r="AU20" s="751"/>
      <c r="AV20" s="751"/>
      <c r="AW20" s="751"/>
      <c r="AX20" s="751"/>
      <c r="AY20" s="751"/>
      <c r="AZ20" s="751"/>
      <c r="BA20" s="751"/>
      <c r="BB20" s="751"/>
      <c r="BC20" s="751"/>
      <c r="BD20" s="751"/>
      <c r="BE20" s="751"/>
      <c r="BF20" s="751"/>
      <c r="BG20" s="751"/>
      <c r="BH20" s="751"/>
      <c r="BI20" s="751"/>
      <c r="BJ20" s="751"/>
      <c r="BK20" s="751"/>
      <c r="BL20" s="751"/>
      <c r="BM20" s="751"/>
      <c r="BN20" s="751"/>
      <c r="BO20" s="751"/>
      <c r="BP20" s="751"/>
      <c r="BQ20" s="751"/>
      <c r="BR20" s="751"/>
      <c r="BS20" s="751"/>
      <c r="BT20" s="751"/>
      <c r="BU20" s="751"/>
      <c r="BV20" s="751"/>
      <c r="BW20" s="752"/>
      <c r="BX20" s="717" t="str">
        <f>'داده‌های ورودی'!$B$8</f>
        <v>دوره بهره‌برداري دوم</v>
      </c>
      <c r="BY20" s="718"/>
      <c r="BZ20" s="718"/>
      <c r="CA20" s="718"/>
      <c r="CB20" s="718"/>
      <c r="CC20" s="718"/>
      <c r="CD20" s="718"/>
      <c r="CE20" s="718"/>
      <c r="CF20" s="718"/>
      <c r="CG20" s="718"/>
      <c r="CH20" s="718"/>
      <c r="CI20" s="718"/>
      <c r="CJ20" s="718"/>
      <c r="CK20" s="718"/>
      <c r="CL20" s="718"/>
      <c r="CM20" s="718"/>
      <c r="CN20" s="718"/>
      <c r="CO20" s="718"/>
      <c r="CP20" s="718"/>
      <c r="CQ20" s="718"/>
      <c r="CR20" s="718"/>
      <c r="CS20" s="718"/>
      <c r="CT20" s="718"/>
      <c r="CU20" s="718"/>
      <c r="CV20" s="718"/>
      <c r="CW20" s="718"/>
      <c r="CX20" s="718"/>
      <c r="CY20" s="718"/>
      <c r="CZ20" s="718"/>
      <c r="DA20" s="718"/>
      <c r="DB20" s="718"/>
      <c r="DC20" s="718"/>
      <c r="DD20" s="718"/>
      <c r="DE20" s="718"/>
      <c r="DF20" s="718"/>
      <c r="DG20" s="718"/>
      <c r="DH20" s="718"/>
      <c r="DI20" s="718"/>
      <c r="DJ20" s="718"/>
      <c r="DK20" s="718"/>
      <c r="DL20" s="718"/>
      <c r="DM20" s="718"/>
      <c r="DN20" s="718"/>
      <c r="DO20" s="718"/>
      <c r="DP20" s="718"/>
      <c r="DQ20" s="718"/>
      <c r="DR20" s="718"/>
      <c r="DS20" s="718"/>
      <c r="DT20" s="718"/>
      <c r="DU20" s="718"/>
      <c r="DV20" s="718"/>
      <c r="DW20" s="718"/>
      <c r="DX20" s="718"/>
      <c r="DY20" s="718"/>
      <c r="DZ20" s="718"/>
      <c r="EA20" s="718"/>
      <c r="EB20" s="718"/>
      <c r="EC20" s="718"/>
      <c r="ED20" s="718"/>
      <c r="EE20" s="718"/>
      <c r="EF20" s="718"/>
      <c r="EG20" s="718"/>
      <c r="EH20" s="718"/>
      <c r="EI20" s="718"/>
      <c r="EJ20" s="718"/>
      <c r="EK20" s="718"/>
      <c r="EL20" s="718"/>
      <c r="EM20" s="718"/>
      <c r="EN20" s="718"/>
      <c r="EO20" s="718"/>
      <c r="EP20" s="718"/>
      <c r="EQ20" s="718"/>
      <c r="ER20" s="718"/>
      <c r="ES20" s="718"/>
      <c r="ET20" s="718"/>
      <c r="EU20" s="718"/>
      <c r="EV20" s="718"/>
      <c r="EW20" s="718"/>
      <c r="EX20" s="718"/>
      <c r="EY20" s="718"/>
      <c r="EZ20" s="718"/>
      <c r="FA20" s="718"/>
      <c r="FB20" s="718"/>
      <c r="FC20" s="718"/>
      <c r="FD20" s="718"/>
      <c r="FE20" s="718"/>
      <c r="FF20" s="718"/>
      <c r="FG20" s="718"/>
      <c r="FH20" s="718"/>
      <c r="FI20" s="718"/>
      <c r="FJ20" s="718"/>
      <c r="FK20" s="718"/>
      <c r="FL20" s="718"/>
      <c r="FM20" s="718"/>
      <c r="FN20" s="718"/>
      <c r="FO20" s="718"/>
      <c r="FP20" s="718"/>
      <c r="FQ20" s="718"/>
      <c r="FR20" s="718"/>
      <c r="FS20" s="718"/>
      <c r="FT20" s="718"/>
      <c r="FU20" s="718"/>
      <c r="FV20" s="718"/>
      <c r="FW20" s="718"/>
      <c r="FX20" s="718"/>
      <c r="FY20" s="718"/>
      <c r="FZ20" s="718"/>
      <c r="GA20" s="718"/>
      <c r="GB20" s="718"/>
      <c r="GC20" s="718"/>
      <c r="GD20" s="718"/>
      <c r="GE20" s="718"/>
      <c r="GF20" s="718"/>
      <c r="GG20" s="718"/>
      <c r="GH20" s="718"/>
      <c r="GI20" s="718"/>
      <c r="GJ20" s="718"/>
      <c r="GK20" s="718"/>
      <c r="GL20" s="718"/>
      <c r="GM20" s="719"/>
    </row>
    <row r="21" spans="2:195" ht="23.6" hidden="1" thickBot="1" x14ac:dyDescent="0.8">
      <c r="B21" s="710"/>
      <c r="C21" s="462" t="s">
        <v>5899</v>
      </c>
      <c r="D21" s="755" t="str">
        <f>'داده‌های ورودی'!B13</f>
        <v>دوره اول استخراج</v>
      </c>
      <c r="E21" s="756"/>
      <c r="F21" s="756"/>
      <c r="G21" s="756"/>
      <c r="H21" s="756"/>
      <c r="I21" s="756"/>
      <c r="J21" s="756"/>
      <c r="K21" s="756"/>
      <c r="L21" s="756"/>
      <c r="M21" s="756"/>
      <c r="N21" s="756"/>
      <c r="O21" s="756"/>
      <c r="P21" s="756"/>
      <c r="Q21" s="756"/>
      <c r="R21" s="756"/>
      <c r="S21" s="756"/>
      <c r="T21" s="756"/>
      <c r="U21" s="756"/>
      <c r="V21" s="756"/>
      <c r="W21" s="756"/>
      <c r="X21" s="756"/>
      <c r="Y21" s="756"/>
      <c r="Z21" s="756"/>
      <c r="AA21" s="756"/>
      <c r="AB21" s="756"/>
      <c r="AC21" s="756"/>
      <c r="AD21" s="756"/>
      <c r="AE21" s="756"/>
      <c r="AF21" s="756"/>
      <c r="AG21" s="756"/>
      <c r="AH21" s="756"/>
      <c r="AI21" s="756"/>
      <c r="AJ21" s="756"/>
      <c r="AK21" s="756"/>
      <c r="AL21" s="756"/>
      <c r="AM21" s="756"/>
      <c r="AN21" s="756"/>
      <c r="AO21" s="756"/>
      <c r="AP21" s="756"/>
      <c r="AQ21" s="756"/>
      <c r="AR21" s="756"/>
      <c r="AS21" s="756"/>
      <c r="AT21" s="756"/>
      <c r="AU21" s="756"/>
      <c r="AV21" s="756"/>
      <c r="AW21" s="756"/>
      <c r="AX21" s="756"/>
      <c r="AY21" s="757"/>
      <c r="AZ21" s="753" t="str">
        <f>'داده‌های ورودی'!$B$14</f>
        <v>دوره دوم استخراج</v>
      </c>
      <c r="BA21" s="725"/>
      <c r="BB21" s="725"/>
      <c r="BC21" s="725"/>
      <c r="BD21" s="725"/>
      <c r="BE21" s="725"/>
      <c r="BF21" s="725"/>
      <c r="BG21" s="725"/>
      <c r="BH21" s="725"/>
      <c r="BI21" s="725"/>
      <c r="BJ21" s="725"/>
      <c r="BK21" s="725"/>
      <c r="BL21" s="725"/>
      <c r="BM21" s="725"/>
      <c r="BN21" s="725"/>
      <c r="BO21" s="725"/>
      <c r="BP21" s="725"/>
      <c r="BQ21" s="725"/>
      <c r="BR21" s="725"/>
      <c r="BS21" s="725"/>
      <c r="BT21" s="725"/>
      <c r="BU21" s="725"/>
      <c r="BV21" s="725"/>
      <c r="BW21" s="725"/>
      <c r="BX21" s="725"/>
      <c r="BY21" s="725"/>
      <c r="BZ21" s="725"/>
      <c r="CA21" s="725"/>
      <c r="CB21" s="725"/>
      <c r="CC21" s="725"/>
      <c r="CD21" s="725"/>
      <c r="CE21" s="725"/>
      <c r="CF21" s="725"/>
      <c r="CG21" s="725"/>
      <c r="CH21" s="725"/>
      <c r="CI21" s="725"/>
      <c r="CJ21" s="725"/>
      <c r="CK21" s="725"/>
      <c r="CL21" s="725"/>
      <c r="CM21" s="725"/>
      <c r="CN21" s="725"/>
      <c r="CO21" s="725"/>
      <c r="CP21" s="725"/>
      <c r="CQ21" s="725"/>
      <c r="CR21" s="725"/>
      <c r="CS21" s="725"/>
      <c r="CT21" s="725"/>
      <c r="CU21" s="754"/>
      <c r="CV21" s="753" t="str">
        <f>'داده‌های ورودی'!$B$15</f>
        <v>دوره سوم استخراج</v>
      </c>
      <c r="CW21" s="725"/>
      <c r="CX21" s="725"/>
      <c r="CY21" s="725"/>
      <c r="CZ21" s="725"/>
      <c r="DA21" s="725"/>
      <c r="DB21" s="725"/>
      <c r="DC21" s="725"/>
      <c r="DD21" s="725"/>
      <c r="DE21" s="725"/>
      <c r="DF21" s="725"/>
      <c r="DG21" s="725"/>
      <c r="DH21" s="725"/>
      <c r="DI21" s="725"/>
      <c r="DJ21" s="725"/>
      <c r="DK21" s="725"/>
      <c r="DL21" s="725"/>
      <c r="DM21" s="725"/>
      <c r="DN21" s="725"/>
      <c r="DO21" s="725"/>
      <c r="DP21" s="725"/>
      <c r="DQ21" s="725"/>
      <c r="DR21" s="725"/>
      <c r="DS21" s="725"/>
      <c r="DT21" s="725"/>
      <c r="DU21" s="725"/>
      <c r="DV21" s="725"/>
      <c r="DW21" s="725"/>
      <c r="DX21" s="725"/>
      <c r="DY21" s="725"/>
      <c r="DZ21" s="725"/>
      <c r="EA21" s="725"/>
      <c r="EB21" s="725"/>
      <c r="EC21" s="725"/>
      <c r="ED21" s="725"/>
      <c r="EE21" s="725"/>
      <c r="EF21" s="725"/>
      <c r="EG21" s="725"/>
      <c r="EH21" s="725"/>
      <c r="EI21" s="725"/>
      <c r="EJ21" s="725"/>
      <c r="EK21" s="725"/>
      <c r="EL21" s="725"/>
      <c r="EM21" s="725"/>
      <c r="EN21" s="725"/>
      <c r="EO21" s="725"/>
      <c r="EP21" s="725"/>
      <c r="EQ21" s="754"/>
      <c r="ER21" s="747" t="str">
        <f>'داده‌های ورودی'!$B$16</f>
        <v>دوره چهام استخراج</v>
      </c>
      <c r="ES21" s="748"/>
      <c r="ET21" s="748"/>
      <c r="EU21" s="748"/>
      <c r="EV21" s="748"/>
      <c r="EW21" s="748"/>
      <c r="EX21" s="748"/>
      <c r="EY21" s="748"/>
      <c r="EZ21" s="748"/>
      <c r="FA21" s="748"/>
      <c r="FB21" s="748"/>
      <c r="FC21" s="748"/>
      <c r="FD21" s="748"/>
      <c r="FE21" s="748"/>
      <c r="FF21" s="748"/>
      <c r="FG21" s="748"/>
      <c r="FH21" s="748"/>
      <c r="FI21" s="748"/>
      <c r="FJ21" s="748"/>
      <c r="FK21" s="748"/>
      <c r="FL21" s="748"/>
      <c r="FM21" s="748"/>
      <c r="FN21" s="748"/>
      <c r="FO21" s="748"/>
      <c r="FP21" s="748"/>
      <c r="FQ21" s="748"/>
      <c r="FR21" s="748"/>
      <c r="FS21" s="748"/>
      <c r="FT21" s="748"/>
      <c r="FU21" s="748"/>
      <c r="FV21" s="748"/>
      <c r="FW21" s="748"/>
      <c r="FX21" s="748"/>
      <c r="FY21" s="748"/>
      <c r="FZ21" s="748"/>
      <c r="GA21" s="748"/>
      <c r="GB21" s="748"/>
      <c r="GC21" s="748"/>
      <c r="GD21" s="748"/>
      <c r="GE21" s="748"/>
      <c r="GF21" s="748"/>
      <c r="GG21" s="748"/>
      <c r="GH21" s="748"/>
      <c r="GI21" s="748"/>
      <c r="GJ21" s="748"/>
      <c r="GK21" s="748"/>
      <c r="GL21" s="748"/>
      <c r="GM21" s="749"/>
    </row>
    <row r="22" spans="2:195" ht="23.6" hidden="1" thickBot="1" x14ac:dyDescent="0.8">
      <c r="B22" s="710"/>
      <c r="C22" s="453" t="s">
        <v>5805</v>
      </c>
      <c r="D22" s="733">
        <v>1405</v>
      </c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5"/>
      <c r="P22" s="731">
        <v>1406</v>
      </c>
      <c r="Q22" s="731"/>
      <c r="R22" s="731"/>
      <c r="S22" s="731"/>
      <c r="T22" s="731"/>
      <c r="U22" s="731"/>
      <c r="V22" s="731"/>
      <c r="W22" s="731"/>
      <c r="X22" s="731"/>
      <c r="Y22" s="731"/>
      <c r="Z22" s="731"/>
      <c r="AA22" s="732"/>
      <c r="AB22" s="761">
        <f>+P22+1</f>
        <v>1407</v>
      </c>
      <c r="AC22" s="707"/>
      <c r="AD22" s="707"/>
      <c r="AE22" s="707"/>
      <c r="AF22" s="707"/>
      <c r="AG22" s="707"/>
      <c r="AH22" s="707"/>
      <c r="AI22" s="707"/>
      <c r="AJ22" s="707"/>
      <c r="AK22" s="707"/>
      <c r="AL22" s="707"/>
      <c r="AM22" s="708"/>
      <c r="AN22" s="706">
        <f>+AB22+1</f>
        <v>1408</v>
      </c>
      <c r="AO22" s="707"/>
      <c r="AP22" s="707"/>
      <c r="AQ22" s="707"/>
      <c r="AR22" s="707"/>
      <c r="AS22" s="707"/>
      <c r="AT22" s="707"/>
      <c r="AU22" s="707"/>
      <c r="AV22" s="707"/>
      <c r="AW22" s="707"/>
      <c r="AX22" s="707"/>
      <c r="AY22" s="708"/>
      <c r="AZ22" s="706">
        <f>+AN22+1</f>
        <v>1409</v>
      </c>
      <c r="BA22" s="707"/>
      <c r="BB22" s="707"/>
      <c r="BC22" s="707"/>
      <c r="BD22" s="707"/>
      <c r="BE22" s="707"/>
      <c r="BF22" s="707"/>
      <c r="BG22" s="707"/>
      <c r="BH22" s="707"/>
      <c r="BI22" s="707"/>
      <c r="BJ22" s="707"/>
      <c r="BK22" s="708"/>
      <c r="BL22" s="706">
        <f>+AZ22+1</f>
        <v>1410</v>
      </c>
      <c r="BM22" s="707"/>
      <c r="BN22" s="707"/>
      <c r="BO22" s="707"/>
      <c r="BP22" s="707"/>
      <c r="BQ22" s="707"/>
      <c r="BR22" s="707"/>
      <c r="BS22" s="707"/>
      <c r="BT22" s="707"/>
      <c r="BU22" s="707"/>
      <c r="BV22" s="707"/>
      <c r="BW22" s="708"/>
      <c r="BX22" s="706">
        <f t="shared" ref="BX22" si="28">+BL22+1</f>
        <v>1411</v>
      </c>
      <c r="BY22" s="707"/>
      <c r="BZ22" s="707"/>
      <c r="CA22" s="707"/>
      <c r="CB22" s="707"/>
      <c r="CC22" s="707"/>
      <c r="CD22" s="707"/>
      <c r="CE22" s="707"/>
      <c r="CF22" s="707"/>
      <c r="CG22" s="707"/>
      <c r="CH22" s="707"/>
      <c r="CI22" s="708"/>
      <c r="CJ22" s="706">
        <f t="shared" ref="CJ22" si="29">+BX22+1</f>
        <v>1412</v>
      </c>
      <c r="CK22" s="707"/>
      <c r="CL22" s="707"/>
      <c r="CM22" s="707"/>
      <c r="CN22" s="707"/>
      <c r="CO22" s="707"/>
      <c r="CP22" s="707"/>
      <c r="CQ22" s="707"/>
      <c r="CR22" s="707"/>
      <c r="CS22" s="707"/>
      <c r="CT22" s="707"/>
      <c r="CU22" s="708"/>
      <c r="CV22" s="706">
        <f t="shared" ref="CV22" si="30">+CJ22+1</f>
        <v>1413</v>
      </c>
      <c r="CW22" s="707"/>
      <c r="CX22" s="707"/>
      <c r="CY22" s="707"/>
      <c r="CZ22" s="707"/>
      <c r="DA22" s="707"/>
      <c r="DB22" s="707"/>
      <c r="DC22" s="707"/>
      <c r="DD22" s="707"/>
      <c r="DE22" s="707"/>
      <c r="DF22" s="707"/>
      <c r="DG22" s="708"/>
      <c r="DH22" s="706">
        <f t="shared" ref="DH22" si="31">+CV22+1</f>
        <v>1414</v>
      </c>
      <c r="DI22" s="707"/>
      <c r="DJ22" s="707"/>
      <c r="DK22" s="707"/>
      <c r="DL22" s="707"/>
      <c r="DM22" s="707"/>
      <c r="DN22" s="707"/>
      <c r="DO22" s="707"/>
      <c r="DP22" s="707"/>
      <c r="DQ22" s="707"/>
      <c r="DR22" s="707"/>
      <c r="DS22" s="708"/>
      <c r="DT22" s="706">
        <f t="shared" ref="DT22" si="32">+DH22+1</f>
        <v>1415</v>
      </c>
      <c r="DU22" s="707"/>
      <c r="DV22" s="707"/>
      <c r="DW22" s="707"/>
      <c r="DX22" s="707"/>
      <c r="DY22" s="707"/>
      <c r="DZ22" s="707"/>
      <c r="EA22" s="707"/>
      <c r="EB22" s="707"/>
      <c r="EC22" s="707"/>
      <c r="ED22" s="707"/>
      <c r="EE22" s="708"/>
      <c r="EF22" s="706">
        <f t="shared" ref="EF22" si="33">+DT22+1</f>
        <v>1416</v>
      </c>
      <c r="EG22" s="707"/>
      <c r="EH22" s="707"/>
      <c r="EI22" s="707"/>
      <c r="EJ22" s="707"/>
      <c r="EK22" s="707"/>
      <c r="EL22" s="707"/>
      <c r="EM22" s="707"/>
      <c r="EN22" s="707"/>
      <c r="EO22" s="707"/>
      <c r="EP22" s="707"/>
      <c r="EQ22" s="708"/>
      <c r="ER22" s="706">
        <f t="shared" ref="ER22" si="34">+EF22+1</f>
        <v>1417</v>
      </c>
      <c r="ES22" s="707"/>
      <c r="ET22" s="707"/>
      <c r="EU22" s="707"/>
      <c r="EV22" s="707"/>
      <c r="EW22" s="707"/>
      <c r="EX22" s="707"/>
      <c r="EY22" s="707"/>
      <c r="EZ22" s="707"/>
      <c r="FA22" s="707"/>
      <c r="FB22" s="707"/>
      <c r="FC22" s="708"/>
      <c r="FD22" s="706">
        <f t="shared" ref="FD22" si="35">+ER22+1</f>
        <v>1418</v>
      </c>
      <c r="FE22" s="707"/>
      <c r="FF22" s="707"/>
      <c r="FG22" s="707"/>
      <c r="FH22" s="707"/>
      <c r="FI22" s="707"/>
      <c r="FJ22" s="707"/>
      <c r="FK22" s="707"/>
      <c r="FL22" s="707"/>
      <c r="FM22" s="707"/>
      <c r="FN22" s="707"/>
      <c r="FO22" s="708"/>
      <c r="FP22" s="706">
        <f t="shared" ref="FP22" si="36">+FD22+1</f>
        <v>1419</v>
      </c>
      <c r="FQ22" s="707"/>
      <c r="FR22" s="707"/>
      <c r="FS22" s="707"/>
      <c r="FT22" s="707"/>
      <c r="FU22" s="707"/>
      <c r="FV22" s="707"/>
      <c r="FW22" s="707"/>
      <c r="FX22" s="707"/>
      <c r="FY22" s="707"/>
      <c r="FZ22" s="707"/>
      <c r="GA22" s="708"/>
      <c r="GB22" s="706">
        <f t="shared" ref="GB22" si="37">+FP22+1</f>
        <v>1420</v>
      </c>
      <c r="GC22" s="707"/>
      <c r="GD22" s="707"/>
      <c r="GE22" s="707"/>
      <c r="GF22" s="707"/>
      <c r="GG22" s="707"/>
      <c r="GH22" s="707"/>
      <c r="GI22" s="707"/>
      <c r="GJ22" s="707"/>
      <c r="GK22" s="707"/>
      <c r="GL22" s="707"/>
      <c r="GM22" s="708"/>
    </row>
    <row r="23" spans="2:195" ht="20.149999999999999" hidden="1" thickBot="1" x14ac:dyDescent="0.8">
      <c r="B23" s="711"/>
      <c r="C23" s="463" t="s">
        <v>140</v>
      </c>
      <c r="D23" s="453">
        <v>1</v>
      </c>
      <c r="E23" s="453">
        <f>+D23+1</f>
        <v>2</v>
      </c>
      <c r="F23" s="453">
        <f t="shared" ref="F23:AB23" si="38">+E23+1</f>
        <v>3</v>
      </c>
      <c r="G23" s="453">
        <f t="shared" si="38"/>
        <v>4</v>
      </c>
      <c r="H23" s="453">
        <f t="shared" si="38"/>
        <v>5</v>
      </c>
      <c r="I23" s="453">
        <f t="shared" si="38"/>
        <v>6</v>
      </c>
      <c r="J23" s="453">
        <f t="shared" si="38"/>
        <v>7</v>
      </c>
      <c r="K23" s="453">
        <f t="shared" si="38"/>
        <v>8</v>
      </c>
      <c r="L23" s="453">
        <f t="shared" si="38"/>
        <v>9</v>
      </c>
      <c r="M23" s="453">
        <f t="shared" si="38"/>
        <v>10</v>
      </c>
      <c r="N23" s="453">
        <f t="shared" si="38"/>
        <v>11</v>
      </c>
      <c r="O23" s="453">
        <f t="shared" si="38"/>
        <v>12</v>
      </c>
      <c r="P23" s="453">
        <f t="shared" si="38"/>
        <v>13</v>
      </c>
      <c r="Q23" s="453">
        <f t="shared" si="38"/>
        <v>14</v>
      </c>
      <c r="R23" s="453">
        <f t="shared" si="38"/>
        <v>15</v>
      </c>
      <c r="S23" s="453">
        <f t="shared" si="38"/>
        <v>16</v>
      </c>
      <c r="T23" s="453">
        <f t="shared" si="38"/>
        <v>17</v>
      </c>
      <c r="U23" s="453">
        <f t="shared" si="38"/>
        <v>18</v>
      </c>
      <c r="V23" s="453">
        <f t="shared" si="38"/>
        <v>19</v>
      </c>
      <c r="W23" s="453">
        <f t="shared" si="38"/>
        <v>20</v>
      </c>
      <c r="X23" s="453">
        <f t="shared" si="38"/>
        <v>21</v>
      </c>
      <c r="Y23" s="453">
        <f t="shared" si="38"/>
        <v>22</v>
      </c>
      <c r="Z23" s="453">
        <f t="shared" si="38"/>
        <v>23</v>
      </c>
      <c r="AA23" s="453">
        <f t="shared" si="38"/>
        <v>24</v>
      </c>
      <c r="AB23" s="456">
        <f t="shared" si="38"/>
        <v>25</v>
      </c>
      <c r="AC23" s="464">
        <f>+AB23+1</f>
        <v>26</v>
      </c>
      <c r="AD23" s="465">
        <f t="shared" ref="AD23:AO23" si="39">+AC23+1</f>
        <v>27</v>
      </c>
      <c r="AE23" s="465">
        <f t="shared" si="39"/>
        <v>28</v>
      </c>
      <c r="AF23" s="465">
        <f t="shared" si="39"/>
        <v>29</v>
      </c>
      <c r="AG23" s="465">
        <f t="shared" si="39"/>
        <v>30</v>
      </c>
      <c r="AH23" s="465">
        <f t="shared" si="39"/>
        <v>31</v>
      </c>
      <c r="AI23" s="465">
        <f t="shared" si="39"/>
        <v>32</v>
      </c>
      <c r="AJ23" s="465">
        <f t="shared" si="39"/>
        <v>33</v>
      </c>
      <c r="AK23" s="465">
        <f t="shared" si="39"/>
        <v>34</v>
      </c>
      <c r="AL23" s="465">
        <f t="shared" si="39"/>
        <v>35</v>
      </c>
      <c r="AM23" s="465">
        <f t="shared" si="39"/>
        <v>36</v>
      </c>
      <c r="AN23" s="465">
        <f t="shared" si="39"/>
        <v>37</v>
      </c>
      <c r="AO23" s="465">
        <f t="shared" si="39"/>
        <v>38</v>
      </c>
      <c r="AP23" s="465">
        <f t="shared" ref="AP23" si="40">+AO23+1</f>
        <v>39</v>
      </c>
      <c r="AQ23" s="465">
        <f t="shared" ref="AQ23" si="41">+AP23+1</f>
        <v>40</v>
      </c>
      <c r="AR23" s="465">
        <f t="shared" ref="AR23" si="42">+AQ23+1</f>
        <v>41</v>
      </c>
      <c r="AS23" s="465">
        <f t="shared" ref="AS23" si="43">+AR23+1</f>
        <v>42</v>
      </c>
      <c r="AT23" s="465">
        <f t="shared" ref="AT23" si="44">+AS23+1</f>
        <v>43</v>
      </c>
      <c r="AU23" s="465">
        <f t="shared" ref="AU23" si="45">+AT23+1</f>
        <v>44</v>
      </c>
      <c r="AV23" s="465">
        <f t="shared" ref="AV23" si="46">+AU23+1</f>
        <v>45</v>
      </c>
      <c r="AW23" s="465">
        <f t="shared" ref="AW23" si="47">+AV23+1</f>
        <v>46</v>
      </c>
      <c r="AX23" s="465">
        <f t="shared" ref="AX23" si="48">+AW23+1</f>
        <v>47</v>
      </c>
      <c r="AY23" s="465">
        <f t="shared" ref="AY23" si="49">+AX23+1</f>
        <v>48</v>
      </c>
      <c r="AZ23" s="465">
        <f t="shared" ref="AZ23" si="50">+AY23+1</f>
        <v>49</v>
      </c>
      <c r="BA23" s="465">
        <f t="shared" ref="BA23" si="51">+AZ23+1</f>
        <v>50</v>
      </c>
      <c r="BB23" s="465">
        <f t="shared" ref="BB23" si="52">+BA23+1</f>
        <v>51</v>
      </c>
      <c r="BC23" s="465">
        <f t="shared" ref="BC23" si="53">+BB23+1</f>
        <v>52</v>
      </c>
      <c r="BD23" s="465">
        <f t="shared" ref="BD23" si="54">+BC23+1</f>
        <v>53</v>
      </c>
      <c r="BE23" s="465">
        <f t="shared" ref="BE23" si="55">+BD23+1</f>
        <v>54</v>
      </c>
      <c r="BF23" s="465">
        <f t="shared" ref="BF23" si="56">+BE23+1</f>
        <v>55</v>
      </c>
      <c r="BG23" s="465">
        <f t="shared" ref="BG23" si="57">+BF23+1</f>
        <v>56</v>
      </c>
      <c r="BH23" s="465">
        <f t="shared" ref="BH23" si="58">+BG23+1</f>
        <v>57</v>
      </c>
      <c r="BI23" s="465">
        <f t="shared" ref="BI23" si="59">+BH23+1</f>
        <v>58</v>
      </c>
      <c r="BJ23" s="465">
        <f t="shared" ref="BJ23" si="60">+BI23+1</f>
        <v>59</v>
      </c>
      <c r="BK23" s="465">
        <f t="shared" ref="BK23:BL23" si="61">+BJ23+1</f>
        <v>60</v>
      </c>
      <c r="BL23" s="465">
        <f t="shared" si="61"/>
        <v>61</v>
      </c>
      <c r="BM23" s="465">
        <f t="shared" ref="BM23" si="62">+BL23+1</f>
        <v>62</v>
      </c>
      <c r="BN23" s="465">
        <f t="shared" ref="BN23" si="63">+BM23+1</f>
        <v>63</v>
      </c>
      <c r="BO23" s="465">
        <f t="shared" ref="BO23" si="64">+BN23+1</f>
        <v>64</v>
      </c>
      <c r="BP23" s="465">
        <f t="shared" ref="BP23" si="65">+BO23+1</f>
        <v>65</v>
      </c>
      <c r="BQ23" s="465">
        <f t="shared" ref="BQ23" si="66">+BP23+1</f>
        <v>66</v>
      </c>
      <c r="BR23" s="465">
        <f t="shared" ref="BR23" si="67">+BQ23+1</f>
        <v>67</v>
      </c>
      <c r="BS23" s="465">
        <f t="shared" ref="BS23" si="68">+BR23+1</f>
        <v>68</v>
      </c>
      <c r="BT23" s="465">
        <f t="shared" ref="BT23" si="69">+BS23+1</f>
        <v>69</v>
      </c>
      <c r="BU23" s="465">
        <f t="shared" ref="BU23" si="70">+BT23+1</f>
        <v>70</v>
      </c>
      <c r="BV23" s="465">
        <f t="shared" ref="BV23" si="71">+BU23+1</f>
        <v>71</v>
      </c>
      <c r="BW23" s="465">
        <f t="shared" ref="BW23" si="72">+BV23+1</f>
        <v>72</v>
      </c>
      <c r="BX23" s="465">
        <f t="shared" ref="BX23" si="73">+BW23+1</f>
        <v>73</v>
      </c>
      <c r="BY23" s="465">
        <f t="shared" ref="BY23" si="74">+BX23+1</f>
        <v>74</v>
      </c>
      <c r="BZ23" s="465">
        <f t="shared" ref="BZ23" si="75">+BY23+1</f>
        <v>75</v>
      </c>
      <c r="CA23" s="465">
        <f t="shared" ref="CA23" si="76">+BZ23+1</f>
        <v>76</v>
      </c>
      <c r="CB23" s="465">
        <f t="shared" ref="CB23" si="77">+CA23+1</f>
        <v>77</v>
      </c>
      <c r="CC23" s="465">
        <f t="shared" ref="CC23" si="78">+CB23+1</f>
        <v>78</v>
      </c>
      <c r="CD23" s="465">
        <f t="shared" ref="CD23" si="79">+CC23+1</f>
        <v>79</v>
      </c>
      <c r="CE23" s="465">
        <f t="shared" ref="CE23" si="80">+CD23+1</f>
        <v>80</v>
      </c>
      <c r="CF23" s="465">
        <f t="shared" ref="CF23" si="81">+CE23+1</f>
        <v>81</v>
      </c>
      <c r="CG23" s="465">
        <f t="shared" ref="CG23" si="82">+CF23+1</f>
        <v>82</v>
      </c>
      <c r="CH23" s="465">
        <f t="shared" ref="CH23" si="83">+CG23+1</f>
        <v>83</v>
      </c>
      <c r="CI23" s="465">
        <f t="shared" ref="CI23" si="84">+CH23+1</f>
        <v>84</v>
      </c>
      <c r="CJ23" s="465">
        <f t="shared" ref="CJ23" si="85">+CI23+1</f>
        <v>85</v>
      </c>
      <c r="CK23" s="465">
        <f t="shared" ref="CK23" si="86">+CJ23+1</f>
        <v>86</v>
      </c>
      <c r="CL23" s="465">
        <f t="shared" ref="CL23" si="87">+CK23+1</f>
        <v>87</v>
      </c>
      <c r="CM23" s="465">
        <f t="shared" ref="CM23" si="88">+CL23+1</f>
        <v>88</v>
      </c>
      <c r="CN23" s="465">
        <f t="shared" ref="CN23" si="89">+CM23+1</f>
        <v>89</v>
      </c>
      <c r="CO23" s="465">
        <f t="shared" ref="CO23" si="90">+CN23+1</f>
        <v>90</v>
      </c>
      <c r="CP23" s="465">
        <f t="shared" ref="CP23" si="91">+CO23+1</f>
        <v>91</v>
      </c>
      <c r="CQ23" s="465">
        <f t="shared" ref="CQ23" si="92">+CP23+1</f>
        <v>92</v>
      </c>
      <c r="CR23" s="465">
        <f t="shared" ref="CR23" si="93">+CQ23+1</f>
        <v>93</v>
      </c>
      <c r="CS23" s="465">
        <f t="shared" ref="CS23" si="94">+CR23+1</f>
        <v>94</v>
      </c>
      <c r="CT23" s="465">
        <f t="shared" ref="CT23" si="95">+CS23+1</f>
        <v>95</v>
      </c>
      <c r="CU23" s="465">
        <f t="shared" ref="CU23" si="96">+CT23+1</f>
        <v>96</v>
      </c>
      <c r="CV23" s="465">
        <f t="shared" ref="CV23" si="97">+CU23+1</f>
        <v>97</v>
      </c>
      <c r="CW23" s="465">
        <f t="shared" ref="CW23" si="98">+CV23+1</f>
        <v>98</v>
      </c>
      <c r="CX23" s="465">
        <f t="shared" ref="CX23" si="99">+CW23+1</f>
        <v>99</v>
      </c>
      <c r="CY23" s="465">
        <f t="shared" ref="CY23" si="100">+CX23+1</f>
        <v>100</v>
      </c>
      <c r="CZ23" s="465">
        <f t="shared" ref="CZ23" si="101">+CY23+1</f>
        <v>101</v>
      </c>
      <c r="DA23" s="465">
        <f t="shared" ref="DA23" si="102">+CZ23+1</f>
        <v>102</v>
      </c>
      <c r="DB23" s="465">
        <f t="shared" ref="DB23" si="103">+DA23+1</f>
        <v>103</v>
      </c>
      <c r="DC23" s="465">
        <f t="shared" ref="DC23" si="104">+DB23+1</f>
        <v>104</v>
      </c>
      <c r="DD23" s="465">
        <f t="shared" ref="DD23" si="105">+DC23+1</f>
        <v>105</v>
      </c>
      <c r="DE23" s="465">
        <f t="shared" ref="DE23" si="106">+DD23+1</f>
        <v>106</v>
      </c>
      <c r="DF23" s="465">
        <f t="shared" ref="DF23" si="107">+DE23+1</f>
        <v>107</v>
      </c>
      <c r="DG23" s="465">
        <f t="shared" ref="DG23" si="108">+DF23+1</f>
        <v>108</v>
      </c>
      <c r="DH23" s="465">
        <f t="shared" ref="DH23" si="109">+DG23+1</f>
        <v>109</v>
      </c>
      <c r="DI23" s="465">
        <f t="shared" ref="DI23" si="110">+DH23+1</f>
        <v>110</v>
      </c>
      <c r="DJ23" s="465">
        <f t="shared" ref="DJ23" si="111">+DI23+1</f>
        <v>111</v>
      </c>
      <c r="DK23" s="465">
        <f t="shared" ref="DK23" si="112">+DJ23+1</f>
        <v>112</v>
      </c>
      <c r="DL23" s="465">
        <f t="shared" ref="DL23" si="113">+DK23+1</f>
        <v>113</v>
      </c>
      <c r="DM23" s="465">
        <f t="shared" ref="DM23" si="114">+DL23+1</f>
        <v>114</v>
      </c>
      <c r="DN23" s="465">
        <f t="shared" ref="DN23" si="115">+DM23+1</f>
        <v>115</v>
      </c>
      <c r="DO23" s="465">
        <f t="shared" ref="DO23" si="116">+DN23+1</f>
        <v>116</v>
      </c>
      <c r="DP23" s="465">
        <f t="shared" ref="DP23" si="117">+DO23+1</f>
        <v>117</v>
      </c>
      <c r="DQ23" s="465">
        <f t="shared" ref="DQ23" si="118">+DP23+1</f>
        <v>118</v>
      </c>
      <c r="DR23" s="465">
        <f t="shared" ref="DR23" si="119">+DQ23+1</f>
        <v>119</v>
      </c>
      <c r="DS23" s="465">
        <f t="shared" ref="DS23" si="120">+DR23+1</f>
        <v>120</v>
      </c>
      <c r="DT23" s="465">
        <f t="shared" ref="DT23" si="121">+DS23+1</f>
        <v>121</v>
      </c>
      <c r="DU23" s="465">
        <f t="shared" ref="DU23" si="122">+DT23+1</f>
        <v>122</v>
      </c>
      <c r="DV23" s="465">
        <f t="shared" ref="DV23" si="123">+DU23+1</f>
        <v>123</v>
      </c>
      <c r="DW23" s="465">
        <f t="shared" ref="DW23" si="124">+DV23+1</f>
        <v>124</v>
      </c>
      <c r="DX23" s="465">
        <f t="shared" ref="DX23" si="125">+DW23+1</f>
        <v>125</v>
      </c>
      <c r="DY23" s="465">
        <f t="shared" ref="DY23" si="126">+DX23+1</f>
        <v>126</v>
      </c>
      <c r="DZ23" s="465">
        <f t="shared" ref="DZ23" si="127">+DY23+1</f>
        <v>127</v>
      </c>
      <c r="EA23" s="465">
        <f t="shared" ref="EA23" si="128">+DZ23+1</f>
        <v>128</v>
      </c>
      <c r="EB23" s="465">
        <f t="shared" ref="EB23" si="129">+EA23+1</f>
        <v>129</v>
      </c>
      <c r="EC23" s="465">
        <f t="shared" ref="EC23" si="130">+EB23+1</f>
        <v>130</v>
      </c>
      <c r="ED23" s="465">
        <f t="shared" ref="ED23" si="131">+EC23+1</f>
        <v>131</v>
      </c>
      <c r="EE23" s="465">
        <f t="shared" ref="EE23" si="132">+ED23+1</f>
        <v>132</v>
      </c>
      <c r="EF23" s="465">
        <f t="shared" ref="EF23" si="133">+EE23+1</f>
        <v>133</v>
      </c>
      <c r="EG23" s="465">
        <f t="shared" ref="EG23" si="134">+EF23+1</f>
        <v>134</v>
      </c>
      <c r="EH23" s="465">
        <f t="shared" ref="EH23" si="135">+EG23+1</f>
        <v>135</v>
      </c>
      <c r="EI23" s="465">
        <f t="shared" ref="EI23" si="136">+EH23+1</f>
        <v>136</v>
      </c>
      <c r="EJ23" s="465">
        <f t="shared" ref="EJ23" si="137">+EI23+1</f>
        <v>137</v>
      </c>
      <c r="EK23" s="465">
        <f t="shared" ref="EK23" si="138">+EJ23+1</f>
        <v>138</v>
      </c>
      <c r="EL23" s="465">
        <f t="shared" ref="EL23" si="139">+EK23+1</f>
        <v>139</v>
      </c>
      <c r="EM23" s="465">
        <f t="shared" ref="EM23" si="140">+EL23+1</f>
        <v>140</v>
      </c>
      <c r="EN23" s="465">
        <f t="shared" ref="EN23" si="141">+EM23+1</f>
        <v>141</v>
      </c>
      <c r="EO23" s="465">
        <f t="shared" ref="EO23" si="142">+EN23+1</f>
        <v>142</v>
      </c>
      <c r="EP23" s="465">
        <f t="shared" ref="EP23" si="143">+EO23+1</f>
        <v>143</v>
      </c>
      <c r="EQ23" s="465">
        <f t="shared" ref="EQ23" si="144">+EP23+1</f>
        <v>144</v>
      </c>
      <c r="ER23" s="465">
        <f t="shared" ref="ER23" si="145">+EQ23+1</f>
        <v>145</v>
      </c>
      <c r="ES23" s="465">
        <f t="shared" ref="ES23" si="146">+ER23+1</f>
        <v>146</v>
      </c>
      <c r="ET23" s="465">
        <f t="shared" ref="ET23" si="147">+ES23+1</f>
        <v>147</v>
      </c>
      <c r="EU23" s="465">
        <f t="shared" ref="EU23" si="148">+ET23+1</f>
        <v>148</v>
      </c>
      <c r="EV23" s="465">
        <f t="shared" ref="EV23" si="149">+EU23+1</f>
        <v>149</v>
      </c>
      <c r="EW23" s="465">
        <f t="shared" ref="EW23" si="150">+EV23+1</f>
        <v>150</v>
      </c>
      <c r="EX23" s="465">
        <f t="shared" ref="EX23" si="151">+EW23+1</f>
        <v>151</v>
      </c>
      <c r="EY23" s="465">
        <f t="shared" ref="EY23" si="152">+EX23+1</f>
        <v>152</v>
      </c>
      <c r="EZ23" s="465">
        <f t="shared" ref="EZ23" si="153">+EY23+1</f>
        <v>153</v>
      </c>
      <c r="FA23" s="465">
        <f t="shared" ref="FA23" si="154">+EZ23+1</f>
        <v>154</v>
      </c>
      <c r="FB23" s="465">
        <f t="shared" ref="FB23" si="155">+FA23+1</f>
        <v>155</v>
      </c>
      <c r="FC23" s="465">
        <f t="shared" ref="FC23" si="156">+FB23+1</f>
        <v>156</v>
      </c>
      <c r="FD23" s="465">
        <f t="shared" ref="FD23" si="157">+FC23+1</f>
        <v>157</v>
      </c>
      <c r="FE23" s="465">
        <f t="shared" ref="FE23" si="158">+FD23+1</f>
        <v>158</v>
      </c>
      <c r="FF23" s="465">
        <f t="shared" ref="FF23" si="159">+FE23+1</f>
        <v>159</v>
      </c>
      <c r="FG23" s="465">
        <f t="shared" ref="FG23" si="160">+FF23+1</f>
        <v>160</v>
      </c>
      <c r="FH23" s="465">
        <f t="shared" ref="FH23" si="161">+FG23+1</f>
        <v>161</v>
      </c>
      <c r="FI23" s="465">
        <f t="shared" ref="FI23" si="162">+FH23+1</f>
        <v>162</v>
      </c>
      <c r="FJ23" s="465">
        <f t="shared" ref="FJ23" si="163">+FI23+1</f>
        <v>163</v>
      </c>
      <c r="FK23" s="465">
        <f t="shared" ref="FK23" si="164">+FJ23+1</f>
        <v>164</v>
      </c>
      <c r="FL23" s="465">
        <f t="shared" ref="FL23" si="165">+FK23+1</f>
        <v>165</v>
      </c>
      <c r="FM23" s="465">
        <f t="shared" ref="FM23" si="166">+FL23+1</f>
        <v>166</v>
      </c>
      <c r="FN23" s="465">
        <f t="shared" ref="FN23" si="167">+FM23+1</f>
        <v>167</v>
      </c>
      <c r="FO23" s="465">
        <f t="shared" ref="FO23" si="168">+FN23+1</f>
        <v>168</v>
      </c>
      <c r="FP23" s="465">
        <f t="shared" ref="FP23" si="169">+FO23+1</f>
        <v>169</v>
      </c>
      <c r="FQ23" s="465">
        <f t="shared" ref="FQ23" si="170">+FP23+1</f>
        <v>170</v>
      </c>
      <c r="FR23" s="465">
        <f t="shared" ref="FR23" si="171">+FQ23+1</f>
        <v>171</v>
      </c>
      <c r="FS23" s="465">
        <f t="shared" ref="FS23" si="172">+FR23+1</f>
        <v>172</v>
      </c>
      <c r="FT23" s="465">
        <f t="shared" ref="FT23" si="173">+FS23+1</f>
        <v>173</v>
      </c>
      <c r="FU23" s="465">
        <f t="shared" ref="FU23" si="174">+FT23+1</f>
        <v>174</v>
      </c>
      <c r="FV23" s="465">
        <f t="shared" ref="FV23" si="175">+FU23+1</f>
        <v>175</v>
      </c>
      <c r="FW23" s="465">
        <f t="shared" ref="FW23" si="176">+FV23+1</f>
        <v>176</v>
      </c>
      <c r="FX23" s="465">
        <f t="shared" ref="FX23" si="177">+FW23+1</f>
        <v>177</v>
      </c>
      <c r="FY23" s="465">
        <f t="shared" ref="FY23" si="178">+FX23+1</f>
        <v>178</v>
      </c>
      <c r="FZ23" s="465">
        <f t="shared" ref="FZ23" si="179">+FY23+1</f>
        <v>179</v>
      </c>
      <c r="GA23" s="465">
        <f t="shared" ref="GA23" si="180">+FZ23+1</f>
        <v>180</v>
      </c>
      <c r="GB23" s="465">
        <f t="shared" ref="GB23" si="181">+GA23+1</f>
        <v>181</v>
      </c>
      <c r="GC23" s="465">
        <f t="shared" ref="GC23" si="182">+GB23+1</f>
        <v>182</v>
      </c>
      <c r="GD23" s="465">
        <f t="shared" ref="GD23" si="183">+GC23+1</f>
        <v>183</v>
      </c>
      <c r="GE23" s="465">
        <f t="shared" ref="GE23" si="184">+GD23+1</f>
        <v>184</v>
      </c>
      <c r="GF23" s="465">
        <f t="shared" ref="GF23" si="185">+GE23+1</f>
        <v>185</v>
      </c>
      <c r="GG23" s="465">
        <f t="shared" ref="GG23" si="186">+GF23+1</f>
        <v>186</v>
      </c>
      <c r="GH23" s="465">
        <f t="shared" ref="GH23" si="187">+GG23+1</f>
        <v>187</v>
      </c>
      <c r="GI23" s="465">
        <f t="shared" ref="GI23" si="188">+GH23+1</f>
        <v>188</v>
      </c>
      <c r="GJ23" s="465">
        <f t="shared" ref="GJ23" si="189">+GI23+1</f>
        <v>189</v>
      </c>
      <c r="GK23" s="465">
        <f t="shared" ref="GK23" si="190">+GJ23+1</f>
        <v>190</v>
      </c>
      <c r="GL23" s="465">
        <f t="shared" ref="GL23:GM23" si="191">+GK23+1</f>
        <v>191</v>
      </c>
      <c r="GM23" s="467">
        <f t="shared" si="191"/>
        <v>192</v>
      </c>
    </row>
    <row r="24" spans="2:195" hidden="1" x14ac:dyDescent="0.75">
      <c r="B24" s="423" t="s">
        <v>5808</v>
      </c>
      <c r="C24" s="424" t="s">
        <v>375</v>
      </c>
      <c r="D24" s="258">
        <f>'برآورد محصول'!$D$57*(1+'برآورد محصول'!$D$59)^درآمدها!D$23</f>
        <v>924.28319999999997</v>
      </c>
      <c r="E24" s="258">
        <f>'برآورد محصول'!$D$57*(1+'برآورد محصول'!$D$59)^درآمدها!E$23</f>
        <v>942.76886400000001</v>
      </c>
      <c r="F24" s="258">
        <f>'برآورد محصول'!$D$57*(1+'برآورد محصول'!$D$59)^درآمدها!F$23</f>
        <v>961.62424127999986</v>
      </c>
      <c r="G24" s="258">
        <f>'برآورد محصول'!$D$57*(1+'برآورد محصول'!$D$59)^درآمدها!G$23</f>
        <v>980.85672610559993</v>
      </c>
      <c r="H24" s="258">
        <f>'برآورد محصول'!$D$57*(1+'برآورد محصول'!$D$59)^درآمدها!H$23</f>
        <v>1000.4738606277119</v>
      </c>
      <c r="I24" s="258">
        <f>'برآورد محصول'!$D$57*(1+'برآورد محصول'!$D$59)^درآمدها!I$23</f>
        <v>1020.4833378402662</v>
      </c>
      <c r="J24" s="258">
        <f>'برآورد محصول'!$D$57*(1+'برآورد محصول'!$D$59)^درآمدها!J$23</f>
        <v>1040.8930045970715</v>
      </c>
      <c r="K24" s="258">
        <f>'برآورد محصول'!$D$57*(1+'برآورد محصول'!$D$59)^درآمدها!K$23</f>
        <v>1061.7108646890129</v>
      </c>
      <c r="L24" s="258">
        <f>'برآورد محصول'!$D$57*(1+'برآورد محصول'!$D$59)^درآمدها!L$23</f>
        <v>1082.9450819827932</v>
      </c>
      <c r="M24" s="258">
        <f>'برآورد محصول'!$D$57*(1+'برآورد محصول'!$D$59)^درآمدها!M$23</f>
        <v>1104.6039836224491</v>
      </c>
      <c r="N24" s="258">
        <f>'برآورد محصول'!$D$57*(1+'برآورد محصول'!$D$59)^درآمدها!N$23</f>
        <v>1126.6960632948978</v>
      </c>
      <c r="O24" s="258">
        <f>'برآورد محصول'!$D$57*(1+'برآورد محصول'!$D$59)^درآمدها!O$23</f>
        <v>1149.2299845607961</v>
      </c>
      <c r="P24" s="258">
        <f>'برآورد محصول'!$D$57*(1+'برآورد محصول'!$D$59)^درآمدها!P$23</f>
        <v>1172.2145842520117</v>
      </c>
      <c r="Q24" s="258">
        <f>'برآورد محصول'!$D$57*(1+'برآورد محصول'!$D$59)^درآمدها!Q$23</f>
        <v>1195.6588759370522</v>
      </c>
      <c r="R24" s="258">
        <f>'برآورد محصول'!$D$57*(1+'برآورد محصول'!$D$59)^درآمدها!R$23</f>
        <v>1219.5720534557929</v>
      </c>
      <c r="S24" s="258">
        <f>'برآورد محصول'!$D$57*(1+'برآورد محصول'!$D$59)^درآمدها!S$23</f>
        <v>1243.963494524909</v>
      </c>
      <c r="T24" s="258">
        <f>'برآورد محصول'!$D$57*(1+'برآورد محصول'!$D$59)^درآمدها!T$23</f>
        <v>1268.8427644154071</v>
      </c>
      <c r="U24" s="258">
        <f>'برآورد محصول'!$D$57*(1+'برآورد محصول'!$D$59)^درآمدها!U$23</f>
        <v>1294.2196197037154</v>
      </c>
      <c r="V24" s="258">
        <f>'برآورد محصول'!$D$57*(1+'برآورد محصول'!$D$59)^درآمدها!V$23</f>
        <v>1320.1040120977896</v>
      </c>
      <c r="W24" s="258">
        <f>'برآورد محصول'!$D$57*(1+'برآورد محصول'!$D$59)^درآمدها!W$23</f>
        <v>1346.5060923397455</v>
      </c>
      <c r="X24" s="258">
        <f>'برآورد محصول'!$D$57*(1+'برآورد محصول'!$D$59)^درآمدها!X$23</f>
        <v>1373.4362141865402</v>
      </c>
      <c r="Y24" s="258">
        <f>'برآورد محصول'!$D$57*(1+'برآورد محصول'!$D$59)^درآمدها!Y$23</f>
        <v>1400.9049384702712</v>
      </c>
      <c r="Z24" s="258">
        <f>'برآورد محصول'!$D$57*(1+'برآورد محصول'!$D$59)^درآمدها!Z$23</f>
        <v>1428.9230372396762</v>
      </c>
      <c r="AA24" s="258">
        <f>'برآورد محصول'!$D$57*(1+'برآورد محصول'!$D$59)^درآمدها!AA$23</f>
        <v>1457.5014979844698</v>
      </c>
      <c r="AB24" s="258">
        <f>'برآورد محصول'!$D$57*(1+'برآورد محصول'!$D$59)^درآمدها!AB$23</f>
        <v>1486.6515279441592</v>
      </c>
      <c r="AC24" s="258">
        <f>'برآورد محصول'!$D$57*(1+'برآورد محصول'!$D$59)^درآمدها!AC$23</f>
        <v>1516.3845585030426</v>
      </c>
      <c r="AD24" s="258">
        <f>'برآورد محصول'!$D$57*(1+'برآورد محصول'!$D$59)^درآمدها!AD$23</f>
        <v>1546.7122496731031</v>
      </c>
      <c r="AE24" s="258">
        <f>'برآورد محصول'!$D$57*(1+'برآورد محصول'!$D$59)^درآمدها!AE$23</f>
        <v>1577.6464946665656</v>
      </c>
      <c r="AF24" s="258">
        <f>'برآورد محصول'!$D$57*(1+'برآورد محصول'!$D$59)^درآمدها!AF$23</f>
        <v>1609.1994245598967</v>
      </c>
      <c r="AG24" s="258">
        <f>'برآورد محصول'!$D$57*(1+'برآورد محصول'!$D$59)^درآمدها!AG$23</f>
        <v>1641.3834130510947</v>
      </c>
      <c r="AH24" s="258">
        <f>'برآورد محصول'!$D$57*(1+'برآورد محصول'!$D$59)^درآمدها!AH$23</f>
        <v>1674.2110813121162</v>
      </c>
      <c r="AI24" s="258">
        <f>'برآورد محصول'!$D$57*(1+'برآورد محصول'!$D$59)^درآمدها!AI$23</f>
        <v>1707.695302938359</v>
      </c>
      <c r="AJ24" s="258">
        <f>'برآورد محصول'!$D$57*(1+'برآورد محصول'!$D$59)^درآمدها!AJ$23</f>
        <v>1741.8492089971262</v>
      </c>
      <c r="AK24" s="258">
        <f>'برآورد محصول'!$D$57*(1+'برآورد محصول'!$D$59)^درآمدها!AK$23</f>
        <v>1776.6861931770686</v>
      </c>
      <c r="AL24" s="258">
        <f>'برآورد محصول'!$D$57*(1+'برآورد محصول'!$D$59)^درآمدها!AL$23</f>
        <v>1812.21991704061</v>
      </c>
      <c r="AM24" s="258">
        <f>'برآورد محصول'!$D$57*(1+'برآورد محصول'!$D$59)^درآمدها!AM$23</f>
        <v>1848.464315381422</v>
      </c>
      <c r="AN24" s="258">
        <f>'برآورد محصول'!$D$57*(1+'برآورد محصول'!$D$59)^درآمدها!AN$23</f>
        <v>1885.4336016890506</v>
      </c>
      <c r="AO24" s="258">
        <f>'برآورد محصول'!$D$57*(1+'برآورد محصول'!$D$59)^درآمدها!AO$23</f>
        <v>1923.142273722832</v>
      </c>
      <c r="AP24" s="258">
        <f>'برآورد محصول'!$D$57*(1+'برآورد محصول'!$D$59)^درآمدها!AP$23</f>
        <v>1961.6051191972879</v>
      </c>
      <c r="AQ24" s="258">
        <f>'برآورد محصول'!$D$57*(1+'برآورد محصول'!$D$59)^درآمدها!AQ$23</f>
        <v>2000.837221581234</v>
      </c>
      <c r="AR24" s="258">
        <f>'برآورد محصول'!$D$57*(1+'برآورد محصول'!$D$59)^درآمدها!AR$23</f>
        <v>2040.8539660128586</v>
      </c>
      <c r="AS24" s="258">
        <f>'برآورد محصول'!$D$57*(1+'برآورد محصول'!$D$59)^درآمدها!AS$23</f>
        <v>2081.6710453331157</v>
      </c>
      <c r="AT24" s="258">
        <f>'برآورد محصول'!$D$57*(1+'برآورد محصول'!$D$59)^درآمدها!AT$23</f>
        <v>2123.3044662397779</v>
      </c>
      <c r="AU24" s="258">
        <f>'برآورد محصول'!$D$57*(1+'برآورد محصول'!$D$59)^درآمدها!AU$23</f>
        <v>2165.7705555645739</v>
      </c>
      <c r="AV24" s="258">
        <f>'برآورد محصول'!$D$57*(1+'برآورد محصول'!$D$59)^درآمدها!AV$23</f>
        <v>2209.0859666758652</v>
      </c>
      <c r="AW24" s="258">
        <f>'برآورد محصول'!$D$57*(1+'برآورد محصول'!$D$59)^درآمدها!AW$23</f>
        <v>2253.2676860093825</v>
      </c>
      <c r="AX24" s="258">
        <f>'برآورد محصول'!$D$57*(1+'برآورد محصول'!$D$59)^درآمدها!AX$23</f>
        <v>2298.3330397295695</v>
      </c>
      <c r="AY24" s="258">
        <f>'برآورد محصول'!$D$57*(1+'برآورد محصول'!$D$59)^درآمدها!AY$23</f>
        <v>2344.2997005241614</v>
      </c>
      <c r="AZ24" s="258">
        <f>$AY$24*(1+'برآورد محصول'!$D$60)^(درآمدها!AZ$23-$AY$23)</f>
        <v>2379.4641960320237</v>
      </c>
      <c r="BA24" s="258">
        <f>$AY$24*(1+'برآورد محصول'!$D$60)^(درآمدها!BA$23-$AY$23)</f>
        <v>2415.1561589725034</v>
      </c>
      <c r="BB24" s="258">
        <f>$AY$24*(1+'برآورد محصول'!$D$60)^(درآمدها!BB$23-$AY$23)</f>
        <v>2451.3835013570906</v>
      </c>
      <c r="BC24" s="258">
        <f>$AY$24*(1+'برآورد محصول'!$D$60)^(درآمدها!BC$23-$AY$23)</f>
        <v>2488.1542538774465</v>
      </c>
      <c r="BD24" s="258">
        <f>$AY$24*(1+'برآورد محصول'!$D$60)^(درآمدها!BD$23-$AY$23)</f>
        <v>2525.4765676856082</v>
      </c>
      <c r="BE24" s="258">
        <f>$AY$24*(1+'برآورد محصول'!$D$60)^(درآمدها!BE$23-$AY$23)</f>
        <v>2563.3587162008916</v>
      </c>
      <c r="BF24" s="258">
        <f>$AY$24*(1+'برآورد محصول'!$D$60)^(درآمدها!BF$23-$AY$23)</f>
        <v>2601.8090969439049</v>
      </c>
      <c r="BG24" s="258">
        <f>$AY$24*(1+'برآورد محصول'!$D$60)^(درآمدها!BG$23-$AY$23)</f>
        <v>2640.8362333980631</v>
      </c>
      <c r="BH24" s="258">
        <f>$AY$24*(1+'برآورد محصول'!$D$60)^(درآمدها!BH$23-$AY$23)</f>
        <v>2680.4487768990339</v>
      </c>
      <c r="BI24" s="258">
        <f>$AY$24*(1+'برآورد محصول'!$D$60)^(درآمدها!BI$23-$AY$23)</f>
        <v>2720.6555085525188</v>
      </c>
      <c r="BJ24" s="258">
        <f>$AY$24*(1+'برآورد محصول'!$D$60)^(درآمدها!BJ$23-$AY$23)</f>
        <v>2761.4653411808063</v>
      </c>
      <c r="BK24" s="258">
        <f>$AY$24*(1+'برآورد محصول'!$D$60)^(درآمدها!BK$23-$AY$23)</f>
        <v>2802.8873212985177</v>
      </c>
      <c r="BL24" s="258">
        <f>$AY$24*(1+'برآورد محصول'!$D$60)^(درآمدها!BL$23-$AY$23)</f>
        <v>2844.9306311179953</v>
      </c>
      <c r="BM24" s="258">
        <f>$AY$24*(1+'برآورد محصول'!$D$60)^(درآمدها!BM$23-$AY$23)</f>
        <v>2887.6045905847645</v>
      </c>
      <c r="BN24" s="258">
        <f>$AY$24*(1+'برآورد محصول'!$D$60)^(درآمدها!BN$23-$AY$23)</f>
        <v>2930.9186594435359</v>
      </c>
      <c r="BO24" s="258">
        <f>$AY$24*(1+'برآورد محصول'!$D$60)^(درآمدها!BO$23-$AY$23)</f>
        <v>2974.8824393351883</v>
      </c>
      <c r="BP24" s="258">
        <f>$AY$24*(1+'برآورد محصول'!$D$60)^(درآمدها!BP$23-$AY$23)</f>
        <v>3019.5056759252157</v>
      </c>
      <c r="BQ24" s="258">
        <f>$AY$24*(1+'برآورد محصول'!$D$60)^(درآمدها!BQ$23-$AY$23)</f>
        <v>3064.7982610640938</v>
      </c>
      <c r="BR24" s="258">
        <f>$AY$24*(1+'برآورد محصول'!$D$60)^(درآمدها!BR$23-$AY$23)</f>
        <v>3110.7702349800547</v>
      </c>
      <c r="BS24" s="258">
        <f>$AY$24*(1+'برآورد محصول'!$D$60)^(درآمدها!BS$23-$AY$23)</f>
        <v>3157.4317885047549</v>
      </c>
      <c r="BT24" s="258">
        <f>$AY$24*(1+'برآورد محصول'!$D$60)^(درآمدها!BT$23-$AY$23)</f>
        <v>3204.793265332326</v>
      </c>
      <c r="BU24" s="258">
        <f>$AY$24*(1+'برآورد محصول'!$D$60)^(درآمدها!BU$23-$AY$23)</f>
        <v>3252.8651643123098</v>
      </c>
      <c r="BV24" s="258">
        <f>$AY$24*(1+'برآورد محصول'!$D$60)^(درآمدها!BV$23-$AY$23)</f>
        <v>3301.6581417769944</v>
      </c>
      <c r="BW24" s="258">
        <f>$AY$24*(1+'برآورد محصول'!$D$60)^(درآمدها!BW$23-$AY$23)</f>
        <v>3351.1830139036488</v>
      </c>
      <c r="BX24" s="258">
        <f>$AY$24*(1+'برآورد محصول'!$D$60)^(درآمدها!BX$23-$AY$23)</f>
        <v>3401.4507591122033</v>
      </c>
      <c r="BY24" s="258">
        <f>$AY$24*(1+'برآورد محصول'!$D$60)^(درآمدها!BY$23-$AY$23)</f>
        <v>3452.4725204988858</v>
      </c>
      <c r="BZ24" s="258">
        <f>$AY$24*(1+'برآورد محصول'!$D$60)^(درآمدها!BZ$23-$AY$23)</f>
        <v>3504.259608306369</v>
      </c>
      <c r="CA24" s="258">
        <f>$AY$24*(1+'برآورد محصول'!$D$60)^(درآمدها!CA$23-$AY$23)</f>
        <v>3556.8235024309633</v>
      </c>
      <c r="CB24" s="258">
        <f>$AY$24*(1+'برآورد محصول'!$D$60)^(درآمدها!CB$23-$AY$23)</f>
        <v>3610.1758549674278</v>
      </c>
      <c r="CC24" s="258">
        <f>$AY$24*(1+'برآورد محصول'!$D$60)^(درآمدها!CC$23-$AY$23)</f>
        <v>3664.3284927919385</v>
      </c>
      <c r="CD24" s="258">
        <f>$AY$24*(1+'برآورد محصول'!$D$60)^(درآمدها!CD$23-$AY$23)</f>
        <v>3719.293420183817</v>
      </c>
      <c r="CE24" s="258">
        <f>$AY$24*(1+'برآورد محصول'!$D$60)^(درآمدها!CE$23-$AY$23)</f>
        <v>3775.0828214865737</v>
      </c>
      <c r="CF24" s="258">
        <f>$AY$24*(1+'برآورد محصول'!$D$60)^(درآمدها!CF$23-$AY$23)</f>
        <v>3831.7090638088716</v>
      </c>
      <c r="CG24" s="258">
        <f>$AY$24*(1+'برآورد محصول'!$D$60)^(درآمدها!CG$23-$AY$23)</f>
        <v>3889.1846997660041</v>
      </c>
      <c r="CH24" s="258">
        <f>$AY$24*(1+'برآورد محصول'!$D$60)^(درآمدها!CH$23-$AY$23)</f>
        <v>3947.5224702624942</v>
      </c>
      <c r="CI24" s="258">
        <f>$AY$24*(1+'برآورد محصول'!$D$60)^(درآمدها!CI$23-$AY$23)</f>
        <v>4006.7353073164309</v>
      </c>
      <c r="CJ24" s="258">
        <f>$AY$24*(1+'برآورد محصول'!$D$60)^(درآمدها!CJ$23-$AY$23)</f>
        <v>4066.836336926177</v>
      </c>
      <c r="CK24" s="258">
        <f>$AY$24*(1+'برآورد محصول'!$D$60)^(درآمدها!CK$23-$AY$23)</f>
        <v>4127.8388819800684</v>
      </c>
      <c r="CL24" s="258">
        <f>$AY$24*(1+'برآورد محصول'!$D$60)^(درآمدها!CL$23-$AY$23)</f>
        <v>4189.756465209769</v>
      </c>
      <c r="CM24" s="258">
        <f>$AY$24*(1+'برآورد محصول'!$D$60)^(درآمدها!CM$23-$AY$23)</f>
        <v>4252.6028121879153</v>
      </c>
      <c r="CN24" s="258">
        <f>$AY$24*(1+'برآورد محصول'!$D$60)^(درآمدها!CN$23-$AY$23)</f>
        <v>4316.3918543707332</v>
      </c>
      <c r="CO24" s="258">
        <f>$AY$24*(1+'برآورد محصول'!$D$60)^(درآمدها!CO$23-$AY$23)</f>
        <v>4381.1377321862938</v>
      </c>
      <c r="CP24" s="258">
        <f>$AY$24*(1+'برآورد محصول'!$D$60)^(درآمدها!CP$23-$AY$23)</f>
        <v>4446.8547981690881</v>
      </c>
      <c r="CQ24" s="258">
        <f>$AY$24*(1+'برآورد محصول'!$D$60)^(درآمدها!CQ$23-$AY$23)</f>
        <v>4513.5576201416234</v>
      </c>
      <c r="CR24" s="258">
        <f>$AY$24*(1+'برآورد محصول'!$D$60)^(درآمدها!CR$23-$AY$23)</f>
        <v>4581.2609844437475</v>
      </c>
      <c r="CS24" s="258">
        <f>$AY$24*(1+'برآورد محصول'!$D$60)^(درآمدها!CS$23-$AY$23)</f>
        <v>4649.9798992104024</v>
      </c>
      <c r="CT24" s="258">
        <f>$AY$24*(1+'برآورد محصول'!$D$60)^(درآمدها!CT$23-$AY$23)</f>
        <v>4719.7295976985579</v>
      </c>
      <c r="CU24" s="258">
        <f>$AY$24*(1+'برآورد محصول'!$D$60)^(درآمدها!CU$23-$AY$23)</f>
        <v>4790.5255416640357</v>
      </c>
      <c r="CV24" s="258">
        <f>$CU$24*(1+'برآورد محصول'!$D$62)^(درآمدها!CV$23-$CU$23)</f>
        <v>4828.8497459973478</v>
      </c>
      <c r="CW24" s="258">
        <f>$CU$24*(1+'برآورد محصول'!$D$62)^(درآمدها!CW$23-$CU$23)</f>
        <v>4867.4805439653273</v>
      </c>
      <c r="CX24" s="258">
        <f>$CU$24*(1+'برآورد محصول'!$D$62)^(درآمدها!CX$23-$CU$23)</f>
        <v>4906.4203883170503</v>
      </c>
      <c r="CY24" s="258">
        <f>$CU$24*(1+'برآورد محصول'!$D$62)^(درآمدها!CY$23-$CU$23)</f>
        <v>4945.671751423587</v>
      </c>
      <c r="CZ24" s="258">
        <f>$CU$24*(1+'برآورد محصول'!$D$62)^(درآمدها!CZ$23-$CU$23)</f>
        <v>4985.2371254349755</v>
      </c>
      <c r="DA24" s="258">
        <f>$CU$24*(1+'برآورد محصول'!$D$62)^(درآمدها!DA$23-$CU$23)</f>
        <v>5025.1190224384554</v>
      </c>
      <c r="DB24" s="258">
        <f>$CU$24*(1+'برآورد محصول'!$D$62)^(درآمدها!DB$23-$CU$23)</f>
        <v>5065.3199746179635</v>
      </c>
      <c r="DC24" s="258">
        <f>$CU$24*(1+'برآورد محصول'!$D$62)^(درآمدها!DC$23-$CU$23)</f>
        <v>5105.8425344149073</v>
      </c>
      <c r="DD24" s="258">
        <f>$CU$24*(1+'برآورد محصول'!$D$62)^(درآمدها!DD$23-$CU$23)</f>
        <v>5146.6892746902267</v>
      </c>
      <c r="DE24" s="258">
        <f>$CU$24*(1+'برآورد محصول'!$D$62)^(درآمدها!DE$23-$CU$23)</f>
        <v>5187.862788887749</v>
      </c>
      <c r="DF24" s="258">
        <f>$CU$24*(1+'برآورد محصول'!$D$62)^(درآمدها!DF$23-$CU$23)</f>
        <v>5229.3656911988519</v>
      </c>
      <c r="DG24" s="258">
        <f>$CU$24*(1+'برآورد محصول'!$D$62)^(درآمدها!DG$23-$CU$23)</f>
        <v>5271.2006167284426</v>
      </c>
      <c r="DH24" s="258">
        <f>$CU$24*(1+'برآورد محصول'!$D$62)^(درآمدها!DH$23-$CU$23)</f>
        <v>5313.3702216622687</v>
      </c>
      <c r="DI24" s="258">
        <f>$CU$24*(1+'برآورد محصول'!$D$62)^(درآمدها!DI$23-$CU$23)</f>
        <v>5355.8771834355684</v>
      </c>
      <c r="DJ24" s="258">
        <f>$CU$24*(1+'برآورد محصول'!$D$62)^(درآمدها!DJ$23-$CU$23)</f>
        <v>5398.7242009030533</v>
      </c>
      <c r="DK24" s="258">
        <f>$CU$24*(1+'برآورد محصول'!$D$62)^(درآمدها!DK$23-$CU$23)</f>
        <v>5441.9139945102779</v>
      </c>
      <c r="DL24" s="258">
        <f>$CU$24*(1+'برآورد محصول'!$D$62)^(درآمدها!DL$23-$CU$23)</f>
        <v>5485.4493064663602</v>
      </c>
      <c r="DM24" s="258">
        <f>$CU$24*(1+'برآورد محصول'!$D$62)^(درآمدها!DM$23-$CU$23)</f>
        <v>5529.3329009180916</v>
      </c>
      <c r="DN24" s="258">
        <f>$CU$24*(1+'برآورد محصول'!$D$62)^(درآمدها!DN$23-$CU$23)</f>
        <v>5573.5675641254365</v>
      </c>
      <c r="DO24" s="258">
        <f>$CU$24*(1+'برآورد محصول'!$D$62)^(درآمدها!DO$23-$CU$23)</f>
        <v>5618.1561046384395</v>
      </c>
      <c r="DP24" s="258">
        <f>$CU$24*(1+'برآورد محصول'!$D$62)^(درآمدها!DP$23-$CU$23)</f>
        <v>5663.1013534755475</v>
      </c>
      <c r="DQ24" s="258">
        <f>$CU$24*(1+'برآورد محصول'!$D$62)^(درآمدها!DQ$23-$CU$23)</f>
        <v>5708.4061643033519</v>
      </c>
      <c r="DR24" s="258">
        <f>$CU$24*(1+'برآورد محصول'!$D$62)^(درآمدها!DR$23-$CU$23)</f>
        <v>5754.0734136177798</v>
      </c>
      <c r="DS24" s="258">
        <f>$CU$24*(1+'برآورد محصول'!$D$62)^(درآمدها!DS$23-$CU$23)</f>
        <v>5800.1060009267221</v>
      </c>
      <c r="DT24" s="258">
        <f>$CU$24*(1+'برآورد محصول'!$D$62)^(درآمدها!DT$23-$CU$23)</f>
        <v>5846.5068489341356</v>
      </c>
      <c r="DU24" s="258">
        <f>$CU$24*(1+'برآورد محصول'!$D$62)^(درآمدها!DU$23-$CU$23)</f>
        <v>5893.2789037256098</v>
      </c>
      <c r="DV24" s="258">
        <f>$CU$24*(1+'برآورد محصول'!$D$62)^(درآمدها!DV$23-$CU$23)</f>
        <v>5940.4251349554152</v>
      </c>
      <c r="DW24" s="258">
        <f>$CU$24*(1+'برآورد محصول'!$D$62)^(درآمدها!DW$23-$CU$23)</f>
        <v>5987.9485360350582</v>
      </c>
      <c r="DX24" s="258">
        <f>$CU$24*(1+'برآورد محصول'!$D$62)^(درآمدها!DX$23-$CU$23)</f>
        <v>6035.8521243233381</v>
      </c>
      <c r="DY24" s="258">
        <f>$CU$24*(1+'برآورد محصول'!$D$62)^(درآمدها!DY$23-$CU$23)</f>
        <v>6084.1389413179249</v>
      </c>
      <c r="DZ24" s="258">
        <f>$CU$24*(1+'برآورد محصول'!$D$62)^(درآمدها!DZ$23-$CU$23)</f>
        <v>6132.8120528484696</v>
      </c>
      <c r="EA24" s="258">
        <f>$CU$24*(1+'برآورد محصول'!$D$62)^(درآمدها!EA$23-$CU$23)</f>
        <v>6181.8745492712569</v>
      </c>
      <c r="EB24" s="258">
        <f>$CU$24*(1+'برآورد محصول'!$D$62)^(درآمدها!EB$23-$CU$23)</f>
        <v>6231.3295456654268</v>
      </c>
      <c r="EC24" s="258">
        <f>$CU$24*(1+'برآورد محصول'!$D$62)^(درآمدها!EC$23-$CU$23)</f>
        <v>6281.180182030751</v>
      </c>
      <c r="ED24" s="258">
        <f>$CU$24*(1+'برآورد محصول'!$D$62)^(درآمدها!ED$23-$CU$23)</f>
        <v>6331.4296234869971</v>
      </c>
      <c r="EE24" s="258">
        <f>$CU$24*(1+'برآورد محصول'!$D$62)^(درآمدها!EE$23-$CU$23)</f>
        <v>6382.081060474894</v>
      </c>
      <c r="EF24" s="258">
        <f>$CU$24*(1+'برآورد محصول'!$D$62)^(درآمدها!EF$23-$CU$23)</f>
        <v>6433.1377089586931</v>
      </c>
      <c r="EG24" s="258">
        <f>$CU$24*(1+'برآورد محصول'!$D$62)^(درآمدها!EG$23-$CU$23)</f>
        <v>6484.6028106303629</v>
      </c>
      <c r="EH24" s="258">
        <f>$CU$24*(1+'برآورد محصول'!$D$62)^(درآمدها!EH$23-$CU$23)</f>
        <v>6536.4796331154066</v>
      </c>
      <c r="EI24" s="258">
        <f>$CU$24*(1+'برآورد محصول'!$D$62)^(درآمدها!EI$23-$CU$23)</f>
        <v>6588.7714701803297</v>
      </c>
      <c r="EJ24" s="258">
        <f>$CU$24*(1+'برآورد محصول'!$D$62)^(درآمدها!EJ$23-$CU$23)</f>
        <v>6641.481641941773</v>
      </c>
      <c r="EK24" s="258">
        <f>$CU$24*(1+'برآورد محصول'!$D$62)^(درآمدها!EK$23-$CU$23)</f>
        <v>6694.6134950773076</v>
      </c>
      <c r="EL24" s="258">
        <f>$CU$24*(1+'برآورد محصول'!$D$62)^(درآمدها!EL$23-$CU$23)</f>
        <v>6748.1704030379269</v>
      </c>
      <c r="EM24" s="258">
        <f>$CU$24*(1+'برآورد محصول'!$D$62)^(درآمدها!EM$23-$CU$23)</f>
        <v>6802.1557662622299</v>
      </c>
      <c r="EN24" s="258">
        <f>$CU$24*(1+'برآورد محصول'!$D$62)^(درآمدها!EN$23-$CU$23)</f>
        <v>6856.5730123923267</v>
      </c>
      <c r="EO24" s="258">
        <f>$CU$24*(1+'برآورد محصول'!$D$62)^(درآمدها!EO$23-$CU$23)</f>
        <v>6911.4255964914664</v>
      </c>
      <c r="EP24" s="258">
        <f>$CU$24*(1+'برآورد محصول'!$D$62)^(درآمدها!EP$23-$CU$23)</f>
        <v>6966.7170012633978</v>
      </c>
      <c r="EQ24" s="258">
        <f>$CU$24*(1+'برآورد محصول'!$D$62)^(درآمدها!EQ$23-$CU$23)</f>
        <v>7022.450737273507</v>
      </c>
      <c r="ER24" s="258">
        <f>$EQ$24*(1+'برآورد محصول'!$D$62)^(درآمدها!ER$23-$EQ$23)</f>
        <v>7078.6303431716951</v>
      </c>
      <c r="ES24" s="258">
        <f>$EQ$24*(1+'برآورد محصول'!$D$62)^(درآمدها!ES$23-$EQ$23)</f>
        <v>7135.2593859170693</v>
      </c>
      <c r="ET24" s="258">
        <f>$EQ$24*(1+'برآورد محصول'!$D$62)^(درآمدها!ET$23-$EQ$23)</f>
        <v>7192.3414610044065</v>
      </c>
      <c r="EU24" s="258">
        <f>$EQ$24*(1+'برآورد محصول'!$D$62)^(درآمدها!EU$23-$EQ$23)</f>
        <v>7249.8801926924416</v>
      </c>
      <c r="EV24" s="258">
        <f>$EQ$24*(1+'برآورد محصول'!$D$62)^(درآمدها!EV$23-$EQ$23)</f>
        <v>7307.8792342339812</v>
      </c>
      <c r="EW24" s="258">
        <f>$EQ$24*(1+'برآورد محصول'!$D$62)^(درآمدها!EW$23-$EQ$23)</f>
        <v>7366.3422681078528</v>
      </c>
      <c r="EX24" s="258">
        <f>$EQ$24*(1+'برآورد محصول'!$D$62)^(درآمدها!EX$23-$EQ$23)</f>
        <v>7425.2730062527171</v>
      </c>
      <c r="EY24" s="258">
        <f>$EQ$24*(1+'برآورد محصول'!$D$62)^(درآمدها!EY$23-$EQ$23)</f>
        <v>7484.6751903027389</v>
      </c>
      <c r="EZ24" s="258">
        <f>$EQ$24*(1+'برآورد محصول'!$D$62)^(درآمدها!EZ$23-$EQ$23)</f>
        <v>7544.5525918251615</v>
      </c>
      <c r="FA24" s="258">
        <f>$EQ$24*(1+'برآورد محصول'!$D$62)^(درآمدها!FA$23-$EQ$23)</f>
        <v>7604.9090125597631</v>
      </c>
      <c r="FB24" s="258">
        <f>$EQ$24*(1+'برآورد محصول'!$D$62)^(درآمدها!FB$23-$EQ$23)</f>
        <v>7665.7482846602425</v>
      </c>
      <c r="FC24" s="258">
        <f>$EQ$24*(1+'برآورد محصول'!$D$62)^(درآمدها!FC$23-$EQ$23)</f>
        <v>7727.0742709375245</v>
      </c>
      <c r="FD24" s="258">
        <f>$EQ$24*(1+'برآورد محصول'!$D$62)^(درآمدها!FD$23-$EQ$23)</f>
        <v>7788.8908651050224</v>
      </c>
      <c r="FE24" s="258">
        <f>$EQ$24*(1+'برآورد محصول'!$D$62)^(درآمدها!FE$23-$EQ$23)</f>
        <v>7851.2019920258645</v>
      </c>
      <c r="FF24" s="258">
        <f>$EQ$24*(1+'برآورد محصول'!$D$62)^(درآمدها!FF$23-$EQ$23)</f>
        <v>7914.0116079620711</v>
      </c>
      <c r="FG24" s="258">
        <f>$EQ$24*(1+'برآورد محصول'!$D$62)^(درآمدها!FG$23-$EQ$23)</f>
        <v>7977.3237008257684</v>
      </c>
      <c r="FH24" s="258">
        <f>$EQ$24*(1+'برآورد محصول'!$D$62)^(درآمدها!FH$23-$EQ$23)</f>
        <v>8041.1422904323754</v>
      </c>
      <c r="FI24" s="258">
        <f>$EQ$24*(1+'برآورد محصول'!$D$62)^(درآمدها!FI$23-$EQ$23)</f>
        <v>8105.4714287558345</v>
      </c>
      <c r="FJ24" s="258">
        <f>$EQ$24*(1+'برآورد محصول'!$D$62)^(درآمدها!FJ$23-$EQ$23)</f>
        <v>8170.3152001858816</v>
      </c>
      <c r="FK24" s="258">
        <f>$EQ$24*(1+'برآورد محصول'!$D$62)^(درآمدها!FK$23-$EQ$23)</f>
        <v>8235.6777217873678</v>
      </c>
      <c r="FL24" s="258">
        <f>$EQ$24*(1+'برآورد محصول'!$D$62)^(درآمدها!FL$23-$EQ$23)</f>
        <v>8301.5631435616688</v>
      </c>
      <c r="FM24" s="258">
        <f>$EQ$24*(1+'برآورد محصول'!$D$62)^(درآمدها!FM$23-$EQ$23)</f>
        <v>8367.9756487101604</v>
      </c>
      <c r="FN24" s="258">
        <f>$EQ$24*(1+'برآورد محصول'!$D$62)^(درآمدها!FN$23-$EQ$23)</f>
        <v>8434.9194538998436</v>
      </c>
      <c r="FO24" s="258">
        <f>$EQ$24*(1+'برآورد محصول'!$D$62)^(درآمدها!FO$23-$EQ$23)</f>
        <v>8502.3988095310433</v>
      </c>
      <c r="FP24" s="258">
        <f>$EQ$24*(1+'برآورد محصول'!$D$62)^(درآمدها!FP$23-$EQ$23)</f>
        <v>8570.418000007292</v>
      </c>
      <c r="FQ24" s="258">
        <f>$EQ$24*(1+'برآورد محصول'!$D$62)^(درآمدها!FQ$23-$EQ$23)</f>
        <v>8638.9813440073503</v>
      </c>
      <c r="FR24" s="258">
        <f>$EQ$24*(1+'برآورد محصول'!$D$62)^(درآمدها!FR$23-$EQ$23)</f>
        <v>8708.0931947594108</v>
      </c>
      <c r="FS24" s="258">
        <f>$EQ$24*(1+'برآورد محصول'!$D$62)^(درآمدها!FS$23-$EQ$23)</f>
        <v>8777.7579403174859</v>
      </c>
      <c r="FT24" s="258">
        <f>$EQ$24*(1+'برآورد محصول'!$D$62)^(درآمدها!FT$23-$EQ$23)</f>
        <v>8847.9800038400244</v>
      </c>
      <c r="FU24" s="258">
        <f>$EQ$24*(1+'برآورد محصول'!$D$62)^(درآمدها!FU$23-$EQ$23)</f>
        <v>8918.7638438707454</v>
      </c>
      <c r="FV24" s="258">
        <f>$EQ$24*(1+'برآورد محصول'!$D$62)^(درآمدها!FV$23-$EQ$23)</f>
        <v>8990.1139546217128</v>
      </c>
      <c r="FW24" s="258">
        <f>$EQ$24*(1+'برآورد محصول'!$D$62)^(درآمدها!FW$23-$EQ$23)</f>
        <v>9062.0348662586857</v>
      </c>
      <c r="FX24" s="258">
        <f>$EQ$24*(1+'برآورد محصول'!$D$62)^(درآمدها!FX$23-$EQ$23)</f>
        <v>9134.5311451887555</v>
      </c>
      <c r="FY24" s="258">
        <f>$EQ$24*(1+'برآورد محصول'!$D$62)^(درآمدها!FY$23-$EQ$23)</f>
        <v>9207.6073943502652</v>
      </c>
      <c r="FZ24" s="258">
        <f>$EQ$24*(1+'برآورد محصول'!$D$62)^(درآمدها!FZ$23-$EQ$23)</f>
        <v>9281.2682535050681</v>
      </c>
      <c r="GA24" s="258">
        <f>$EQ$24*(1+'برآورد محصول'!$D$62)^(درآمدها!GA$23-$EQ$23)</f>
        <v>9355.5183995331099</v>
      </c>
      <c r="GB24" s="258">
        <f>$EQ$24*(1+'برآورد محصول'!$D$62)^(درآمدها!GB$23-$EQ$23)</f>
        <v>9430.362546729375</v>
      </c>
      <c r="GC24" s="258">
        <f>$EQ$24*(1+'برآورد محصول'!$D$62)^(درآمدها!GC$23-$EQ$23)</f>
        <v>9505.8054471032101</v>
      </c>
      <c r="GD24" s="258">
        <f>$EQ$24*(1+'برآورد محصول'!$D$62)^(درآمدها!GD$23-$EQ$23)</f>
        <v>9581.8518906800382</v>
      </c>
      <c r="GE24" s="258">
        <f>$EQ$24*(1+'برآورد محصول'!$D$62)^(درآمدها!GE$23-$EQ$23)</f>
        <v>9658.5067058054774</v>
      </c>
      <c r="GF24" s="258">
        <f>$EQ$24*(1+'برآورد محصول'!$D$62)^(درآمدها!GF$23-$EQ$23)</f>
        <v>9735.7747594519224</v>
      </c>
      <c r="GG24" s="258">
        <f>$EQ$24*(1+'برآورد محصول'!$D$62)^(درآمدها!GG$23-$EQ$23)</f>
        <v>9813.6609575275379</v>
      </c>
      <c r="GH24" s="258">
        <f>$EQ$24*(1+'برآورد محصول'!$D$62)^(درآمدها!GH$23-$EQ$23)</f>
        <v>9892.1702451877591</v>
      </c>
      <c r="GI24" s="258">
        <f>$EQ$24*(1+'برآورد محصول'!$D$62)^(درآمدها!GI$23-$EQ$23)</f>
        <v>9971.3076071492615</v>
      </c>
      <c r="GJ24" s="258">
        <f>$EQ$24*(1+'برآورد محصول'!$D$62)^(درآمدها!GJ$23-$EQ$23)</f>
        <v>10051.078068006454</v>
      </c>
      <c r="GK24" s="258">
        <f>$EQ$24*(1+'برآورد محصول'!$D$62)^(درآمدها!GK$23-$EQ$23)</f>
        <v>10131.486692550507</v>
      </c>
      <c r="GL24" s="258">
        <f>$EQ$24*(1+'برآورد محصول'!$D$62)^(درآمدها!GL$23-$EQ$23)</f>
        <v>10212.53858609091</v>
      </c>
      <c r="GM24" s="468">
        <f>$EQ$24*(1+'برآورد محصول'!$D$62)^(درآمدها!GM$23-$EQ$23)</f>
        <v>10294.238894779641</v>
      </c>
    </row>
    <row r="25" spans="2:195" ht="18.899999999999999" hidden="1" thickBot="1" x14ac:dyDescent="0.8">
      <c r="B25" s="227" t="s">
        <v>602</v>
      </c>
      <c r="C25" s="305" t="s">
        <v>601</v>
      </c>
      <c r="D25" s="466">
        <f>'برآورد محصول'!$D$84/(درآمدها!D$24*میلیون)</f>
        <v>3.8732717418211217E-7</v>
      </c>
      <c r="E25" s="466">
        <f>'برآورد محصول'!$D$84/(درآمدها!E$24*میلیون)</f>
        <v>3.7973252370795307E-7</v>
      </c>
      <c r="F25" s="466">
        <f>'برآورد محصول'!$D$84/(درآمدها!F$24*میلیون)</f>
        <v>3.7228678794897368E-7</v>
      </c>
      <c r="G25" s="466">
        <f>'برآورد محصول'!$D$84/(درآمدها!G$24*میلیون)</f>
        <v>3.6498704700879773E-7</v>
      </c>
      <c r="H25" s="466">
        <f>'برآورد محصول'!$D$84/(درآمدها!H$24*میلیون)</f>
        <v>3.5783043824391931E-7</v>
      </c>
      <c r="I25" s="466">
        <f>'برآورد محصول'!$D$84/(درآمدها!I$24*میلیون)</f>
        <v>3.5081415514109736E-7</v>
      </c>
      <c r="J25" s="466">
        <f>'برآورد محصول'!$D$84/(درآمدها!J$24*میلیون)</f>
        <v>3.4393544621676213E-7</v>
      </c>
      <c r="K25" s="466">
        <f>'برآورد محصول'!$D$84/(درآمدها!K$24*میلیون)</f>
        <v>3.3719161393800211E-7</v>
      </c>
      <c r="L25" s="466">
        <f>'برآورد محصول'!$D$84/(درآمدها!L$24*میلیون)</f>
        <v>3.3058001366470787E-7</v>
      </c>
      <c r="M25" s="466">
        <f>'برآورد محصول'!$D$84/(درآمدها!M$24*میلیون)</f>
        <v>3.2409805261245869E-7</v>
      </c>
      <c r="N25" s="466">
        <f>'برآورد محصول'!$D$84/(درآمدها!N$24*میلیون)</f>
        <v>3.1774318883574391E-7</v>
      </c>
      <c r="O25" s="466">
        <f>'برآورد محصول'!$D$84/(درآمدها!O$24*میلیون)</f>
        <v>3.1151293023112141E-7</v>
      </c>
      <c r="P25" s="466">
        <f>'برآورد محصول'!$D$84/(درآمدها!P$24*میلیون)</f>
        <v>3.0540483355992301E-7</v>
      </c>
      <c r="Q25" s="466">
        <f>'برآورد محصول'!$D$84/(درآمدها!Q$24*میلیون)</f>
        <v>2.9941650349012051E-7</v>
      </c>
      <c r="R25" s="466">
        <f>'برآورد محصول'!$D$84/(درآمدها!R$24*میلیون)</f>
        <v>2.9354559165698101E-7</v>
      </c>
      <c r="S25" s="466">
        <f>'برآورد محصول'!$D$84/(درآمدها!S$24*میلیون)</f>
        <v>2.877897957421382E-7</v>
      </c>
      <c r="T25" s="466">
        <f>'برآورد محصول'!$D$84/(درآمدها!T$24*میلیون)</f>
        <v>2.8214685857072371E-7</v>
      </c>
      <c r="U25" s="466">
        <f>'برآورد محصول'!$D$84/(درآمدها!U$24*میلیون)</f>
        <v>2.7661456722619971E-7</v>
      </c>
      <c r="V25" s="466">
        <f>'برآورد محصول'!$D$84/(درآمدها!V$24*میلیون)</f>
        <v>2.7119075218254879E-7</v>
      </c>
      <c r="W25" s="466">
        <f>'برآورد محصول'!$D$84/(درآمدها!W$24*میلیون)</f>
        <v>2.6587328645347915E-7</v>
      </c>
      <c r="X25" s="466">
        <f>'برآورد محصول'!$D$84/(درآمدها!X$24*میلیون)</f>
        <v>2.6066008475831296E-7</v>
      </c>
      <c r="Y25" s="466">
        <f>'برآورد محصول'!$D$84/(درآمدها!Y$24*میلیون)</f>
        <v>2.5554910270422833E-7</v>
      </c>
      <c r="Z25" s="466">
        <f>'برآورد محصول'!$D$84/(درآمدها!Z$24*میلیون)</f>
        <v>2.5053833598453764E-7</v>
      </c>
      <c r="AA25" s="466">
        <f>'برآورد محصول'!$D$84/(درآمدها!AA$24*میلیون)</f>
        <v>2.4562581959268392E-7</v>
      </c>
      <c r="AB25" s="466">
        <f>'برآورد محصول'!$D$84/(درآمدها!AB$24*میلیون)</f>
        <v>2.4080962705165092E-7</v>
      </c>
      <c r="AC25" s="466">
        <f>'برآورد محصول'!$D$84/(درآمدها!AC$24*میلیون)</f>
        <v>2.3608786965848126E-7</v>
      </c>
      <c r="AD25" s="466">
        <f>'برآورد محصول'!$D$84/(درآمدها!AD$24*میلیون)</f>
        <v>2.3145869574360915E-7</v>
      </c>
      <c r="AE25" s="466">
        <f>'برآورد محصول'!$D$84/(درآمدها!AE$24*میلیون)</f>
        <v>2.2692028994471478E-7</v>
      </c>
      <c r="AF25" s="466">
        <f>'برآورد محصول'!$D$84/(درآمدها!AF$24*میلیون)</f>
        <v>2.2247087249481846E-7</v>
      </c>
      <c r="AG25" s="466">
        <f>'برآورد محصول'!$D$84/(درآمدها!AG$24*میلیون)</f>
        <v>2.1810869852433179E-7</v>
      </c>
      <c r="AH25" s="466">
        <f>'برآورد محصول'!$D$84/(درآمدها!AH$24*میلیون)</f>
        <v>2.1383205737679594E-7</v>
      </c>
      <c r="AI25" s="466">
        <f>'برآورد محصول'!$D$84/(درآمدها!AI$24*میلیون)</f>
        <v>2.0963927193803517E-7</v>
      </c>
      <c r="AJ25" s="466">
        <f>'برآورد محصول'!$D$84/(درآمدها!AJ$24*میلیون)</f>
        <v>2.0552869797846586E-7</v>
      </c>
      <c r="AK25" s="466">
        <f>'برآورد محصول'!$D$84/(درآمدها!AK$24*میلیون)</f>
        <v>2.0149872350829986E-7</v>
      </c>
      <c r="AL25" s="466">
        <f>'برآورد محصول'!$D$84/(درآمدها!AL$24*میلیون)</f>
        <v>1.9754776814539201E-7</v>
      </c>
      <c r="AM25" s="466">
        <f>'برآورد محصول'!$D$84/(درآمدها!AM$24*میلیون)</f>
        <v>1.9367428249548239E-7</v>
      </c>
      <c r="AN25" s="466">
        <f>'برآورد محصول'!$D$84/(درآمدها!AN$24*میلیون)</f>
        <v>1.8987674754459058E-7</v>
      </c>
      <c r="AO25" s="466">
        <f>'برآورد محصول'!$D$84/(درآمدها!AO$24*میلیون)</f>
        <v>1.8615367406332405E-7</v>
      </c>
      <c r="AP25" s="466">
        <f>'برآورد محصول'!$D$84/(درآمدها!AP$24*میلیون)</f>
        <v>1.8250360202286681E-7</v>
      </c>
      <c r="AQ25" s="466">
        <f>'برآورد محصول'!$D$84/(درآمدها!AQ$24*میلیون)</f>
        <v>1.7892510002241838E-7</v>
      </c>
      <c r="AR25" s="466">
        <f>'برآورد محصول'!$D$84/(درآمدها!AR$24*میلیون)</f>
        <v>1.7541676472786116E-7</v>
      </c>
      <c r="AS25" s="466">
        <f>'برآورد محصول'!$D$84/(درآمدها!AS$24*میلیون)</f>
        <v>1.7197722032143255E-7</v>
      </c>
      <c r="AT25" s="466">
        <f>'برآورد محصول'!$D$84/(درآمدها!AT$24*میلیون)</f>
        <v>1.6860511796218876E-7</v>
      </c>
      <c r="AU25" s="466">
        <f>'برآورد محصول'!$D$84/(درآمدها!AU$24*میلیون)</f>
        <v>1.6529913525704778E-7</v>
      </c>
      <c r="AV25" s="466">
        <f>'برآورد محصول'!$D$84/(درآمدها!AV$24*میلیون)</f>
        <v>1.6205797574220372E-7</v>
      </c>
      <c r="AW25" s="466">
        <f>'برآورد محصول'!$D$84/(درآمدها!AW$24*میلیون)</f>
        <v>1.588803683747095E-7</v>
      </c>
      <c r="AX25" s="466">
        <f>'برآورد محصول'!$D$84/(درآمدها!AX$24*میلیون)</f>
        <v>1.5576506703402899E-7</v>
      </c>
      <c r="AY25" s="466">
        <f>'برآورد محصول'!$D$84/(درآمدها!AY$24*میلیون)</f>
        <v>1.5271085003336172E-7</v>
      </c>
      <c r="AZ25" s="466">
        <f>'برآورد محصول'!$D$84/(درآمدها!AZ$24*میلیون)</f>
        <v>1.5045403944173572E-7</v>
      </c>
      <c r="BA25" s="466">
        <f>'برآورد محصول'!$D$84/(درآمدها!BA$24*میلیون)</f>
        <v>1.4823058073077414E-7</v>
      </c>
      <c r="BB25" s="466">
        <f>'برآورد محصول'!$D$84/(درآمدها!BB$24*میلیون)</f>
        <v>1.4603998101554103E-7</v>
      </c>
      <c r="BC25" s="466">
        <f>'برآورد محصول'!$D$84/(درآمدها!BC$24*میلیون)</f>
        <v>1.4388175469511433E-7</v>
      </c>
      <c r="BD25" s="466">
        <f>'برآورد محصول'!$D$84/(درآمدها!BD$24*میلیون)</f>
        <v>1.4175542334494023E-7</v>
      </c>
      <c r="BE25" s="466">
        <f>'برآورد محصول'!$D$84/(درآمدها!BE$24*میلیون)</f>
        <v>1.3966051561077861E-7</v>
      </c>
      <c r="BF25" s="466">
        <f>'برآورد محصول'!$D$84/(درآمدها!BF$24*میلیون)</f>
        <v>1.3759656710421536E-7</v>
      </c>
      <c r="BG25" s="466">
        <f>'برآورد محصول'!$D$84/(درآمدها!BG$24*میلیون)</f>
        <v>1.3556312029971958E-7</v>
      </c>
      <c r="BH25" s="466">
        <f>'برآورد محصول'!$D$84/(درآمدها!BH$24*میلیون)</f>
        <v>1.3355972443322127E-7</v>
      </c>
      <c r="BI25" s="466">
        <f>'برآورد محصول'!$D$84/(درآمدها!BI$24*میلیون)</f>
        <v>1.3158593540218848E-7</v>
      </c>
      <c r="BJ25" s="466">
        <f>'برآورد محصول'!$D$84/(درآمدها!BJ$24*میلیون)</f>
        <v>1.2964131566718079E-7</v>
      </c>
      <c r="BK25" s="466">
        <f>'برآورد محصول'!$D$84/(درآمدها!BK$24*میلیون)</f>
        <v>1.2772543415485795E-7</v>
      </c>
      <c r="BL25" s="466">
        <f>'برآورد محصول'!$D$84/(درآمدها!BL$24*میلیون)</f>
        <v>1.2583786616242165E-7</v>
      </c>
      <c r="BM25" s="466">
        <f>'برآورد محصول'!$D$84/(درآمدها!BM$24*میلیون)</f>
        <v>1.2397819326346961E-7</v>
      </c>
      <c r="BN25" s="466">
        <f>'برآورد محصول'!$D$84/(درآمدها!BN$24*میلیون)</f>
        <v>1.2214600321524102E-7</v>
      </c>
      <c r="BO25" s="466">
        <f>'برآورد محصول'!$D$84/(درآمدها!BO$24*میلیون)</f>
        <v>1.2034088986723254E-7</v>
      </c>
      <c r="BP25" s="466">
        <f>'برآورد محصول'!$D$84/(درآمدها!BP$24*میلیون)</f>
        <v>1.1856245307116509E-7</v>
      </c>
      <c r="BQ25" s="466">
        <f>'برآورد محصول'!$D$84/(درآمدها!BQ$24*میلیون)</f>
        <v>1.1681029859228089E-7</v>
      </c>
      <c r="BR25" s="466">
        <f>'برآورد محصول'!$D$84/(درآمدها!BR$24*میلیون)</f>
        <v>1.1508403802195162E-7</v>
      </c>
      <c r="BS25" s="466">
        <f>'برآورد محصول'!$D$84/(درآمدها!BS$24*میلیون)</f>
        <v>1.1338328869157797E-7</v>
      </c>
      <c r="BT25" s="466">
        <f>'برآورد محصول'!$D$84/(درآمدها!BT$24*میلیون)</f>
        <v>1.1170767358776156E-7</v>
      </c>
      <c r="BU25" s="466">
        <f>'برآورد محصول'!$D$84/(درآمدها!BU$24*میلیون)</f>
        <v>1.1005682126873064E-7</v>
      </c>
      <c r="BV25" s="466">
        <f>'برآورد محصول'!$D$84/(درآمدها!BV$24*میلیون)</f>
        <v>1.0843036578200064E-7</v>
      </c>
      <c r="BW25" s="466">
        <f>'برآورد محصول'!$D$84/(درآمدها!BW$24*میلیون)</f>
        <v>1.0682794658325186E-7</v>
      </c>
      <c r="BX25" s="466">
        <f>'برآورد محصول'!$D$84/(درآمدها!BX$24*میلیون)</f>
        <v>1.0524920845640579E-7</v>
      </c>
      <c r="BY25" s="466">
        <f>'برآورد محصول'!$D$84/(درآمدها!BY$24*میلیون)</f>
        <v>1.0369380143488258E-7</v>
      </c>
      <c r="BZ25" s="466">
        <f>'برآورد محصول'!$D$84/(درآمدها!BZ$24*میلیون)</f>
        <v>1.0216138072402224E-7</v>
      </c>
      <c r="CA25" s="466">
        <f>'برآورد محصول'!$D$84/(درآمدها!CA$24*میلیون)</f>
        <v>1.0065160662465247E-7</v>
      </c>
      <c r="CB25" s="466">
        <f>'برآورد محصول'!$D$84/(درآمدها!CB$24*میلیون)</f>
        <v>9.91641444577857E-8</v>
      </c>
      <c r="CC25" s="466">
        <f>'برآورد محصول'!$D$84/(درآمدها!CC$24*میلیون)</f>
        <v>9.769866449042929E-8</v>
      </c>
      <c r="CD25" s="466">
        <f>'برآورد محصول'!$D$84/(درآمدها!CD$24*میلیون)</f>
        <v>9.6254841862491923E-8</v>
      </c>
      <c r="CE25" s="466">
        <f>'برآورد محصول'!$D$84/(درآمدها!CE$24*میلیون)</f>
        <v>9.483235651477037E-8</v>
      </c>
      <c r="CF25" s="466">
        <f>'برآورد محصول'!$D$84/(درآمدها!CF$24*میلیون)</f>
        <v>9.3430893118000379E-8</v>
      </c>
      <c r="CG25" s="466">
        <f>'برآورد محصول'!$D$84/(درآمدها!CG$24*میلیون)</f>
        <v>9.2050141002956055E-8</v>
      </c>
      <c r="CH25" s="466">
        <f>'برآورد محصول'!$D$84/(درآمدها!CH$24*میلیون)</f>
        <v>9.0689794091582321E-8</v>
      </c>
      <c r="CI25" s="466">
        <f>'برآورد محصول'!$D$84/(درآمدها!CI$24*میلیون)</f>
        <v>8.9349550829145158E-8</v>
      </c>
      <c r="CJ25" s="466">
        <f>'برآورد محصول'!$D$84/(درآمدها!CJ$24*میلیون)</f>
        <v>8.8029114117384397E-8</v>
      </c>
      <c r="CK25" s="466">
        <f>'برآورد محصول'!$D$84/(درآمدها!CK$24*میلیون)</f>
        <v>8.672819124865462E-8</v>
      </c>
      <c r="CL25" s="466">
        <f>'برآورد محصول'!$D$84/(درآمدها!CL$24*میلیون)</f>
        <v>8.5446493841039036E-8</v>
      </c>
      <c r="CM25" s="466">
        <f>'برآورد محصول'!$D$84/(درآمدها!CM$24*میلیون)</f>
        <v>8.4183737774422696E-8</v>
      </c>
      <c r="CN25" s="466">
        <f>'برآورد محصول'!$D$84/(درآمدها!CN$24*میلیون)</f>
        <v>8.2939643127510066E-8</v>
      </c>
      <c r="CO25" s="466">
        <f>'برآورد محصول'!$D$84/(درآمدها!CO$24*میلیون)</f>
        <v>8.1713934115773468E-8</v>
      </c>
      <c r="CP25" s="466">
        <f>'برآورد محصول'!$D$84/(درآمدها!CP$24*میلیون)</f>
        <v>8.0506339030318689E-8</v>
      </c>
      <c r="CQ25" s="466">
        <f>'برآورد محصول'!$D$84/(درآمدها!CQ$24*میلیون)</f>
        <v>7.9316590177653901E-8</v>
      </c>
      <c r="CR25" s="466">
        <f>'برآورد محصول'!$D$84/(درآمدها!CR$24*میلیون)</f>
        <v>7.814442382034867E-8</v>
      </c>
      <c r="CS25" s="466">
        <f>'برآورد محصول'!$D$84/(درآمدها!CS$24*میلیون)</f>
        <v>7.6989580118570149E-8</v>
      </c>
      <c r="CT25" s="466">
        <f>'برآورد محصول'!$D$84/(درآمدها!CT$24*میلیون)</f>
        <v>7.5851803072482909E-8</v>
      </c>
      <c r="CU25" s="466">
        <f>'برآورد محصول'!$D$84/(درآمدها!CU$24*میلیون)</f>
        <v>7.4730840465500414E-8</v>
      </c>
      <c r="CV25" s="466">
        <f>'برآورد محصول'!$D$84/(درآمدها!CV$24*میلیون)</f>
        <v>7.4137738557044059E-8</v>
      </c>
      <c r="CW25" s="466">
        <f>'برآورد محصول'!$D$84/(درآمدها!CW$24*میلیون)</f>
        <v>7.3549343806591325E-8</v>
      </c>
      <c r="CX25" s="466">
        <f>'برآورد محصول'!$D$84/(درآمدها!CX$24*میلیون)</f>
        <v>7.2965618855745353E-8</v>
      </c>
      <c r="CY25" s="466">
        <f>'برآورد محصول'!$D$84/(درآمدها!CY$24*میلیون)</f>
        <v>7.2386526642604509E-8</v>
      </c>
      <c r="CZ25" s="466">
        <f>'برآورد محصول'!$D$84/(درآمدها!CZ$24*میلیون)</f>
        <v>7.1812030399409239E-8</v>
      </c>
      <c r="DA25" s="466">
        <f>'برآورد محصول'!$D$84/(درآمدها!DA$24*میلیون)</f>
        <v>7.1242093650207574E-8</v>
      </c>
      <c r="DB25" s="466">
        <f>'برآورد محصول'!$D$84/(درآمدها!DB$24*میلیون)</f>
        <v>7.0676680208539256E-8</v>
      </c>
      <c r="DC25" s="466">
        <f>'برآورد محصول'!$D$84/(درآمدها!DC$24*میلیون)</f>
        <v>7.0115754175138155E-8</v>
      </c>
      <c r="DD25" s="466">
        <f>'برآورد محصول'!$D$84/(درآمدها!DD$24*میلیون)</f>
        <v>6.9559279935652923E-8</v>
      </c>
      <c r="DE25" s="466">
        <f>'برآورد محصول'!$D$84/(درآمدها!DE$24*میلیون)</f>
        <v>6.9007222158385832E-8</v>
      </c>
      <c r="DF25" s="466">
        <f>'برآورد محصول'!$D$84/(درآمدها!DF$24*میلیون)</f>
        <v>6.8459545792049428E-8</v>
      </c>
      <c r="DG25" s="466">
        <f>'برآورد محصول'!$D$84/(درآمدها!DG$24*میلیون)</f>
        <v>6.7916216063541103E-8</v>
      </c>
      <c r="DH25" s="466">
        <f>'برآورد محصول'!$D$84/(درآمدها!DH$24*میلیون)</f>
        <v>6.7377198475735233E-8</v>
      </c>
      <c r="DI25" s="466">
        <f>'برآورد محصول'!$D$84/(درآمدها!DI$24*میلیون)</f>
        <v>6.6842458805292862E-8</v>
      </c>
      <c r="DJ25" s="466">
        <f>'برآورد محصول'!$D$84/(درآمدها!DJ$24*میلیون)</f>
        <v>6.6311963100488961E-8</v>
      </c>
      <c r="DK25" s="466">
        <f>'برآورد محصول'!$D$84/(درآمدها!DK$24*میلیون)</f>
        <v>6.5785677679056504E-8</v>
      </c>
      <c r="DL25" s="466">
        <f>'برآورد محصول'!$D$84/(درآمدها!DL$24*میلیون)</f>
        <v>6.5263569126048117E-8</v>
      </c>
      <c r="DM25" s="466">
        <f>'برآورد محصول'!$D$84/(درآمدها!DM$24*میلیون)</f>
        <v>6.4745604291714397E-8</v>
      </c>
      <c r="DN25" s="466">
        <f>'برآورد محصول'!$D$84/(درآمدها!DN$24*میلیون)</f>
        <v>6.4231750289399191E-8</v>
      </c>
      <c r="DO25" s="466">
        <f>'برآورد محصول'!$D$84/(درآمدها!DO$24*میلیون)</f>
        <v>6.3721974493451595E-8</v>
      </c>
      <c r="DP25" s="466">
        <f>'برآورد محصول'!$D$84/(درآمدها!DP$24*میلیون)</f>
        <v>6.3216244537154348E-8</v>
      </c>
      <c r="DQ25" s="466">
        <f>'برآورد محصول'!$D$84/(درآمدها!DQ$24*میلیون)</f>
        <v>6.2714528310668998E-8</v>
      </c>
      <c r="DR25" s="466">
        <f>'برآورد محصول'!$D$84/(درآمدها!DR$24*میلیون)</f>
        <v>6.2216793958997015E-8</v>
      </c>
      <c r="DS25" s="466">
        <f>'برآورد محصول'!$D$84/(درآمدها!DS$24*میلیون)</f>
        <v>6.1723009879957352E-8</v>
      </c>
      <c r="DT25" s="466">
        <f>'برآورد محصول'!$D$84/(درآمدها!DT$24*میلیون)</f>
        <v>6.1233144722179916E-8</v>
      </c>
      <c r="DU25" s="466">
        <f>'برآورد محصول'!$D$84/(درآمدها!DU$24*میلیون)</f>
        <v>6.0747167383114979E-8</v>
      </c>
      <c r="DV25" s="466">
        <f>'برآورد محصول'!$D$84/(درآمدها!DV$24*میلیون)</f>
        <v>6.0265047007058513E-8</v>
      </c>
      <c r="DW25" s="466">
        <f>'برآورد محصول'!$D$84/(درآمدها!DW$24*میلیون)</f>
        <v>5.9786752983192969E-8</v>
      </c>
      <c r="DX25" s="466">
        <f>'برآورد محصول'!$D$84/(درآمدها!DX$24*میلیون)</f>
        <v>5.9312254943643821E-8</v>
      </c>
      <c r="DY25" s="466">
        <f>'برآورد محصول'!$D$84/(درآمدها!DY$24*میلیون)</f>
        <v>5.8841522761551419E-8</v>
      </c>
      <c r="DZ25" s="466">
        <f>'برآورد محصول'!$D$84/(درآمدها!DZ$24*میلیون)</f>
        <v>5.8374526549158134E-8</v>
      </c>
      <c r="EA25" s="466">
        <f>'برآورد محصول'!$D$84/(درآمدها!EA$24*میلیون)</f>
        <v>5.7911236655910859E-8</v>
      </c>
      <c r="EB25" s="466">
        <f>'برآورد محصول'!$D$84/(درآمدها!EB$24*میلیون)</f>
        <v>5.7451623666578229E-8</v>
      </c>
      <c r="EC25" s="466">
        <f>'برآورد محصول'!$D$84/(درآمدها!EC$24*میلیون)</f>
        <v>5.6995658399383155E-8</v>
      </c>
      <c r="ED25" s="466">
        <f>'برآورد محصول'!$D$84/(درآمدها!ED$24*میلیون)</f>
        <v>5.6543311904149962E-8</v>
      </c>
      <c r="EE25" s="466">
        <f>'برآورد محصول'!$D$84/(درآمدها!EE$24*میلیون)</f>
        <v>5.6094555460466222E-8</v>
      </c>
      <c r="EF25" s="466">
        <f>'برآورد محصول'!$D$84/(درآمدها!EF$24*میلیون)</f>
        <v>5.5649360575859339E-8</v>
      </c>
      <c r="EG25" s="466">
        <f>'برآورد محصول'!$D$84/(درآمدها!EG$24*میلیون)</f>
        <v>5.5207698983987445E-8</v>
      </c>
      <c r="EH25" s="466">
        <f>'برآورد محصول'!$D$84/(درآمدها!EH$24*میلیون)</f>
        <v>5.4769542642844677E-8</v>
      </c>
      <c r="EI25" s="466">
        <f>'برآورد محصول'!$D$84/(درآمدها!EI$24*میلیون)</f>
        <v>5.4334863732980837E-8</v>
      </c>
      <c r="EJ25" s="466">
        <f>'برآورد محصول'!$D$84/(درآمدها!EJ$24*میلیون)</f>
        <v>5.3903634655734943E-8</v>
      </c>
      <c r="EK25" s="466">
        <f>'برآورد محصول'!$D$84/(درآمدها!EK$24*میلیون)</f>
        <v>5.3475828031483076E-8</v>
      </c>
      <c r="EL25" s="466">
        <f>'برآورد محصول'!$D$84/(درآمدها!EL$24*میلیون)</f>
        <v>5.3051416697899876E-8</v>
      </c>
      <c r="EM25" s="466">
        <f>'برآورد محصول'!$D$84/(درآمدها!EM$24*میلیون)</f>
        <v>5.2630373708234004E-8</v>
      </c>
      <c r="EN25" s="466">
        <f>'برآورد محصول'!$D$84/(درآمدها!EN$24*میلیون)</f>
        <v>5.2212672329597236E-8</v>
      </c>
      <c r="EO25" s="466">
        <f>'برآورد محصول'!$D$84/(درآمدها!EO$24*میلیون)</f>
        <v>5.1798286041267091E-8</v>
      </c>
      <c r="EP25" s="466">
        <f>'برآورد محصول'!$D$84/(درآمدها!EP$24*میلیون)</f>
        <v>5.1387188533003068E-8</v>
      </c>
      <c r="EQ25" s="466">
        <f>'برآورد محصول'!$D$84/(درآمدها!EQ$24*میلیون)</f>
        <v>5.0979353703376046E-8</v>
      </c>
      <c r="ER25" s="466">
        <f>'برآورد محصول'!$D$84/(درآمدها!ER$24*میلیون)</f>
        <v>5.0574755658111161E-8</v>
      </c>
      <c r="ES25" s="466">
        <f>'برآورد محصول'!$D$84/(درآمدها!ES$24*میلیون)</f>
        <v>5.01733687084436E-8</v>
      </c>
      <c r="ET25" s="466">
        <f>'برآورد محصول'!$D$84/(درآمدها!ET$24*میلیون)</f>
        <v>4.9775167369487694E-8</v>
      </c>
      <c r="EU25" s="466">
        <f>'برآورد محصول'!$D$84/(درآمدها!EU$24*میلیون)</f>
        <v>4.9380126358618745E-8</v>
      </c>
      <c r="EV25" s="466">
        <f>'برآورد محصول'!$D$84/(درآمدها!EV$24*میلیون)</f>
        <v>4.8988220593867808E-8</v>
      </c>
      <c r="EW25" s="466">
        <f>'برآورد محصول'!$D$84/(درآمدها!EW$24*میلیون)</f>
        <v>4.8599425192329171E-8</v>
      </c>
      <c r="EX25" s="466">
        <f>'برآورد محصول'!$D$84/(درآمدها!EX$24*میلیون)</f>
        <v>4.8213715468580522E-8</v>
      </c>
      <c r="EY25" s="466">
        <f>'برآورد محصول'!$D$84/(درآمدها!EY$24*میلیون)</f>
        <v>4.783106693311559E-8</v>
      </c>
      <c r="EZ25" s="466">
        <f>'برآورد محصول'!$D$84/(درآمدها!EZ$24*میلیون)</f>
        <v>4.7451455290789271E-8</v>
      </c>
      <c r="FA25" s="466">
        <f>'برآورد محصول'!$D$84/(درآمدها!FA$24*میلیون)</f>
        <v>4.7074856439275075E-8</v>
      </c>
      <c r="FB25" s="466">
        <f>'برآورد محصول'!$D$84/(درآمدها!FB$24*میلیون)</f>
        <v>4.6701246467534792E-8</v>
      </c>
      <c r="FC25" s="466">
        <f>'برآورد محصول'!$D$84/(درآمدها!FC$24*میلیون)</f>
        <v>4.6330601654300382E-8</v>
      </c>
      <c r="FD25" s="466">
        <f>'برآورد محصول'!$D$84/(درآمدها!FD$24*میلیون)</f>
        <v>4.5962898466567856E-8</v>
      </c>
      <c r="FE25" s="466">
        <f>'برآورد محصول'!$D$84/(درآمدها!FE$24*میلیون)</f>
        <v>4.5598113558103016E-8</v>
      </c>
      <c r="FF25" s="466">
        <f>'برآورد محصول'!$D$84/(درآمدها!FF$24*میلیون)</f>
        <v>4.5236223767959342E-8</v>
      </c>
      <c r="FG25" s="466">
        <f>'برآورد محصول'!$D$84/(درآمدها!FG$24*میلیون)</f>
        <v>4.487720611900728E-8</v>
      </c>
      <c r="FH25" s="466">
        <f>'برآورد محصول'!$D$84/(درآمدها!FH$24*میلیون)</f>
        <v>4.452103781647548E-8</v>
      </c>
      <c r="FI25" s="466">
        <f>'برآورد محصول'!$D$84/(درآمدها!FI$24*میلیون)</f>
        <v>4.4167696246503447E-8</v>
      </c>
      <c r="FJ25" s="466">
        <f>'برآورد محصول'!$D$84/(درآمدها!FJ$24*میلیون)</f>
        <v>4.3817158974705799E-8</v>
      </c>
      <c r="FK25" s="466">
        <f>'برآورد محصول'!$D$84/(درآمدها!FK$24*میلیون)</f>
        <v>4.3469403744747819E-8</v>
      </c>
      <c r="FL25" s="466">
        <f>'برآورد محصول'!$D$84/(درآمدها!FL$24*میلیون)</f>
        <v>4.312440847693235E-8</v>
      </c>
      <c r="FM25" s="466">
        <f>'برآورد محصول'!$D$84/(درآمدها!FM$24*میلیون)</f>
        <v>4.2782151266797979E-8</v>
      </c>
      <c r="FN25" s="466">
        <f>'برآورد محصول'!$D$84/(درآمدها!FN$24*میلیون)</f>
        <v>4.244261038372814E-8</v>
      </c>
      <c r="FO25" s="466">
        <f>'برآورد محصول'!$D$84/(درآمدها!FO$24*میلیون)</f>
        <v>4.2105764269571562E-8</v>
      </c>
      <c r="FP25" s="466">
        <f>'برآورد محصول'!$D$84/(درآمدها!FP$24*میلیون)</f>
        <v>4.1771591537273373E-8</v>
      </c>
      <c r="FQ25" s="466">
        <f>'برآورد محصول'!$D$84/(درآمدها!FQ$24*میلیون)</f>
        <v>4.1440070969517235E-8</v>
      </c>
      <c r="FR25" s="466">
        <f>'برآورد محصول'!$D$84/(درآمدها!FR$24*میلیون)</f>
        <v>4.1111181517378204E-8</v>
      </c>
      <c r="FS25" s="466">
        <f>'برآورد محصول'!$D$84/(درآمدها!FS$24*میلیون)</f>
        <v>4.0784902298986311E-8</v>
      </c>
      <c r="FT25" s="466">
        <f>'برآورد محصول'!$D$84/(درآمدها!FT$24*میلیون)</f>
        <v>4.0461212598200709E-8</v>
      </c>
      <c r="FU25" s="466">
        <f>'برآورد محصول'!$D$84/(درآمدها!FU$24*میلیون)</f>
        <v>4.0140091863294359E-8</v>
      </c>
      <c r="FV25" s="466">
        <f>'برآورد محصول'!$D$84/(درآمدها!FV$24*میلیون)</f>
        <v>3.9821519705649152E-8</v>
      </c>
      <c r="FW25" s="466">
        <f>'برآورد محصول'!$D$84/(درآمدها!FW$24*میلیون)</f>
        <v>3.9505475898461464E-8</v>
      </c>
      <c r="FX25" s="466">
        <f>'برآورد محصول'!$D$84/(درآمدها!FX$24*میلیون)</f>
        <v>3.9191940375457808E-8</v>
      </c>
      <c r="FY25" s="466">
        <f>'برآورد محصول'!$D$84/(درآمدها!FY$24*میلیون)</f>
        <v>3.8880893229620836E-8</v>
      </c>
      <c r="FZ25" s="466">
        <f>'برآورد محصول'!$D$84/(درآمدها!FZ$24*میلیون)</f>
        <v>3.8572314711925432E-8</v>
      </c>
      <c r="GA25" s="466">
        <f>'برآورد محصول'!$D$84/(درآمدها!GA$24*میلیون)</f>
        <v>3.826618523008475E-8</v>
      </c>
      <c r="GB25" s="466">
        <f>'برآورد محصول'!$D$84/(درآمدها!GB$24*میلیون)</f>
        <v>3.7962485347306297E-8</v>
      </c>
      <c r="GC25" s="466">
        <f>'برآورد محصول'!$D$84/(درآمدها!GC$24*میلیون)</f>
        <v>3.766119578105783E-8</v>
      </c>
      <c r="GD25" s="466">
        <f>'برآورد محصول'!$D$84/(درآمدها!GD$24*میلیون)</f>
        <v>3.7362297401843077E-8</v>
      </c>
      <c r="GE25" s="466">
        <f>'برآورد محصول'!$D$84/(درآمدها!GE$24*میلیون)</f>
        <v>3.7065771231987189E-8</v>
      </c>
      <c r="GF25" s="466">
        <f>'برآورد محصول'!$D$84/(درآمدها!GF$24*میلیون)</f>
        <v>3.6771598444431733E-8</v>
      </c>
      <c r="GG25" s="466">
        <f>'برآورد محصول'!$D$84/(درآمدها!GG$24*میلیون)</f>
        <v>3.6479760361539413E-8</v>
      </c>
      <c r="GH25" s="466">
        <f>'برآورد محصول'!$D$84/(درآمدها!GH$24*میلیون)</f>
        <v>3.6190238453908146E-8</v>
      </c>
      <c r="GI25" s="466">
        <f>'برآورد محصول'!$D$84/(درآمدها!GI$24*میلیون)</f>
        <v>3.5903014339194587E-8</v>
      </c>
      <c r="GJ25" s="466">
        <f>'برآورد محصول'!$D$84/(درآمدها!GJ$24*میلیون)</f>
        <v>3.5618069780947014E-8</v>
      </c>
      <c r="GK25" s="466">
        <f>'برآورد محصول'!$D$84/(درآمدها!GK$24*میلیون)</f>
        <v>3.5335386687447436E-8</v>
      </c>
      <c r="GL25" s="466">
        <f>'برآورد محصول'!$D$84/(درآمدها!GL$24*میلیون)</f>
        <v>3.5054947110562931E-8</v>
      </c>
      <c r="GM25" s="469">
        <f>'برآورد محصول'!$D$84/(درآمدها!GM$24*میلیون)</f>
        <v>3.4776733244606074E-8</v>
      </c>
    </row>
    <row r="26" spans="2:195" hidden="1" x14ac:dyDescent="0.75">
      <c r="B26" s="417" t="s">
        <v>605</v>
      </c>
      <c r="C26" s="305" t="s">
        <v>394</v>
      </c>
      <c r="D26" s="715" t="s">
        <v>0</v>
      </c>
      <c r="E26" s="715" t="s">
        <v>0</v>
      </c>
      <c r="F26" s="715" t="s">
        <v>0</v>
      </c>
      <c r="G26" s="715" t="s">
        <v>0</v>
      </c>
      <c r="H26" s="715" t="s">
        <v>0</v>
      </c>
      <c r="I26" s="715" t="s">
        <v>0</v>
      </c>
      <c r="J26" s="715" t="s">
        <v>0</v>
      </c>
      <c r="K26" s="715" t="s">
        <v>0</v>
      </c>
      <c r="L26" s="715" t="s">
        <v>0</v>
      </c>
      <c r="M26" s="715" t="s">
        <v>0</v>
      </c>
      <c r="N26" s="715" t="s">
        <v>0</v>
      </c>
      <c r="O26" s="715" t="s">
        <v>0</v>
      </c>
      <c r="P26" s="715" t="s">
        <v>0</v>
      </c>
      <c r="Q26" s="715" t="s">
        <v>0</v>
      </c>
      <c r="R26" s="715" t="s">
        <v>0</v>
      </c>
      <c r="S26" s="715" t="s">
        <v>0</v>
      </c>
      <c r="T26" s="715" t="s">
        <v>0</v>
      </c>
      <c r="U26" s="715" t="s">
        <v>0</v>
      </c>
      <c r="V26" s="715" t="s">
        <v>0</v>
      </c>
      <c r="W26" s="715" t="s">
        <v>0</v>
      </c>
      <c r="X26" s="715" t="s">
        <v>0</v>
      </c>
      <c r="Y26" s="715" t="s">
        <v>0</v>
      </c>
      <c r="Z26" s="715" t="s">
        <v>0</v>
      </c>
      <c r="AA26" s="715" t="s">
        <v>0</v>
      </c>
      <c r="AB26" s="457">
        <f>AB$25*'برآورد محصول'!$D$50*'تبديل واحد و اعداد ثابت'!$D$11/'برآورد محصول'!$D$58*ماهیانه*'برآورد محصول'!$D$77*'برآوردهاي پايه'!$D$5</f>
        <v>1.4432178487496836</v>
      </c>
      <c r="AC26" s="457">
        <f>AC$25*'برآورد محصول'!$D$50*'تبديل واحد و اعداد ثابت'!$D$11/'برآورد محصول'!$D$58*ماهیانه*'برآورد محصول'!$D$77*'برآوردهاي پايه'!$D$5</f>
        <v>1.4149194595585135</v>
      </c>
      <c r="AD26" s="457">
        <f>AD$25*'برآورد محصول'!$D$50*'تبديل واحد و اعداد ثابت'!$D$11/'برآورد محصول'!$D$58*ماهیانه*'برآورد محصول'!$D$77*'برآوردهاي پايه'!$D$5</f>
        <v>1.387175940743641</v>
      </c>
      <c r="AE26" s="457">
        <f>AE$25*'برآورد محصول'!$D$50*'تبديل واحد و اعداد ثابت'!$D$11/'برآورد محصول'!$D$58*ماهیانه*'برآورد محصول'!$D$77*'برآوردهاي پايه'!$D$5</f>
        <v>1.3599764124937652</v>
      </c>
      <c r="AF26" s="457">
        <f>AF$25*'برآورد محصول'!$D$50*'تبديل واحد و اعداد ثابت'!$D$11/'برآورد محصول'!$D$58*ماهیانه*'برآورد محصول'!$D$77*'برآوردهاي پايه'!$D$5</f>
        <v>1.333310208327221</v>
      </c>
      <c r="AG26" s="457">
        <f>AG$25*'برآورد محصول'!$D$50*'تبديل واحد و اعداد ثابت'!$D$11/'برآورد محصول'!$D$58*ماهیانه*'برآورد محصول'!$D$77*'برآوردهاي پايه'!$D$5</f>
        <v>1.30716687090904</v>
      </c>
      <c r="AH26" s="457">
        <f>AH$25*'برآورد محصول'!$D$50*'تبديل واحد و اعداد ثابت'!$D$11/'برآورد محصول'!$D$58*ماهیانه*'برآورد محصول'!$D$77*'برآوردهاي پايه'!$D$5</f>
        <v>1.2815361479500396</v>
      </c>
      <c r="AI26" s="457">
        <f>AI$25*'برآورد محصول'!$D$50*'تبديل واحد و اعداد ثابت'!$D$11/'برآورد محصول'!$D$58*ماهیانه*'برآورد محصول'!$D$77*'برآوردهاي پايه'!$D$5</f>
        <v>1.2564079881863131</v>
      </c>
      <c r="AJ26" s="457">
        <f>AJ$25*'برآورد محصول'!$D$50*'تبديل واحد و اعداد ثابت'!$D$11/'برآورد محصول'!$D$58*ماهیانه*'برآورد محصول'!$D$77*'برآوردهاي پايه'!$D$5</f>
        <v>1.2317725374375619</v>
      </c>
      <c r="AK26" s="457">
        <f>AK$25*'برآورد محصول'!$D$50*'تبديل واحد و اعداد ثابت'!$D$11/'برآورد محصول'!$D$58*ماهیانه*'برآورد محصول'!$D$77*'برآوردهاي پايه'!$D$5</f>
        <v>1.2076201347427076</v>
      </c>
      <c r="AL26" s="457">
        <f>AL$25*'برآورد محصول'!$D$50*'تبديل واحد و اعداد ثابت'!$D$11/'برآورد محصول'!$D$58*ماهیانه*'برآورد محصول'!$D$77*'برآوردهاي پايه'!$D$5</f>
        <v>1.183941308571282</v>
      </c>
      <c r="AM26" s="457">
        <f>AM$25*'برآورد محصول'!$D$50*'تبديل واحد و اعداد ثابت'!$D$11/'برآورد محصول'!$D$58*ماهیانه*'برآورد محصول'!$D$77*'برآوردهاي پايه'!$D$5</f>
        <v>1.1607267731091002</v>
      </c>
      <c r="AN26" s="457">
        <f>AN$25*'برآورد محصول'!$D$50*'تبديل واحد و اعداد ثابت'!$D$11/'برآورد محصول'!$D$58*ماهیانه*'برآورد محصول'!$D$77*'برآوردهاي پايه'!$E$5</f>
        <v>1.1611912496089436</v>
      </c>
      <c r="AO26" s="457">
        <f>AO$25*'برآورد محصول'!$D$50*'تبديل واحد و اعداد ثابت'!$D$11/'برآورد محصول'!$D$58*ماهیانه*'برآورد محصول'!$D$77*'برآوردهاي پايه'!$E$5</f>
        <v>1.1384227937342581</v>
      </c>
      <c r="AP26" s="457">
        <f>AP$25*'برآورد محصول'!$D$50*'تبديل واحد و اعداد ثابت'!$D$11/'برآورد محصول'!$D$58*ماهیانه*'برآورد محصول'!$D$77*'برآوردهاي پايه'!$E$5</f>
        <v>1.1161007781708421</v>
      </c>
      <c r="AQ26" s="457">
        <f>AQ$25*'برآورد محصول'!$D$50*'تبديل واحد و اعداد ثابت'!$D$11/'برآورد محصول'!$D$58*ماهیانه*'برآورد محصول'!$D$77*'برآوردهاي پايه'!$E$5</f>
        <v>1.0942164491870996</v>
      </c>
      <c r="AR26" s="457">
        <f>AR$25*'برآورد محصول'!$D$50*'تبديل واحد و اعداد ثابت'!$D$11/'برآورد محصول'!$D$58*ماهیانه*'برآورد محصول'!$D$77*'برآوردهاي پايه'!$E$5</f>
        <v>1.072761224693235</v>
      </c>
      <c r="AS26" s="457">
        <f>AS$25*'برآورد محصول'!$D$50*'تبديل واحد و اعداد ثابت'!$D$11/'برآورد محصول'!$D$58*ماهیانه*'برآورد محصول'!$D$77*'برآوردهاي پايه'!$E$5</f>
        <v>1.0517266908757206</v>
      </c>
      <c r="AT26" s="457">
        <f>AT$25*'برآورد محصول'!$D$50*'تبديل واحد و اعداد ثابت'!$D$11/'برآورد محصول'!$D$58*ماهیانه*'برآورد محصول'!$D$77*'برآوردهاي پايه'!$E$5</f>
        <v>1.0311045988977654</v>
      </c>
      <c r="AU26" s="457">
        <f>AU$25*'برآورد محصول'!$D$50*'تبديل واحد و اعداد ثابت'!$D$11/'برآورد محصول'!$D$58*ماهیانه*'برآورد محصول'!$D$77*'برآوردهاي پايه'!$E$5</f>
        <v>1.0108868616644759</v>
      </c>
      <c r="AV26" s="457">
        <f>AV$25*'برآورد محصول'!$D$50*'تبديل واحد و اعداد ثابت'!$D$11/'برآورد محصول'!$D$58*ماهیانه*'برآورد محصول'!$D$77*'برآوردهاي پايه'!$E$5</f>
        <v>0.99106555065144675</v>
      </c>
      <c r="AW26" s="457">
        <f>AW$25*'برآورد محصول'!$D$50*'تبديل واحد و اعداد ثابت'!$D$11/'برآورد محصول'!$D$58*ماهیانه*'برآورد محصول'!$D$77*'برآوردهاي پايه'!$E$5</f>
        <v>0.97163289279553611</v>
      </c>
      <c r="AX26" s="457">
        <f>AX$25*'برآورد محصول'!$D$50*'تبديل واحد و اعداد ثابت'!$D$11/'برآورد محصول'!$D$58*ماهیانه*'برآورد محصول'!$D$77*'برآوردهاي پايه'!$E$5</f>
        <v>0.95258126744660421</v>
      </c>
      <c r="AY26" s="457">
        <f>AY$25*'برآورد محصول'!$D$50*'تبديل واحد و اعداد ثابت'!$D$11/'برآورد محصول'!$D$58*ماهیانه*'برآورد محصول'!$D$77*'برآوردهاي پايه'!$E$5</f>
        <v>0.93390320337902377</v>
      </c>
      <c r="AZ26" s="457">
        <f>AZ$25*'برآورد محصول'!$D$51*'تبديل واحد و اعداد ثابت'!$D$11/'برآورد محصول'!$D$58*ماهیانه*'برآورد محصول'!$D$77*'برآوردهاي پايه'!$F$5</f>
        <v>0.45545033071193775</v>
      </c>
      <c r="BA26" s="457">
        <f>BA$25*'برآورد محصول'!$D$51*'تبديل واحد و اعداد ثابت'!$D$11/'برآورد محصول'!$D$58*ماهیانه*'برآورد محصول'!$D$77*'برآوردهاي پايه'!$F$5</f>
        <v>0.44871953764722938</v>
      </c>
      <c r="BB26" s="457">
        <f>BB$25*'برآورد محصول'!$D$51*'تبديل واحد و اعداد ثابت'!$D$11/'برآورد محصول'!$D$58*ماهیانه*'برآورد محصول'!$D$77*'برآوردهاي پايه'!$F$5</f>
        <v>0.4420882144307679</v>
      </c>
      <c r="BC26" s="457">
        <f>BC$25*'برآورد محصول'!$D$51*'تبديل واحد و اعداد ثابت'!$D$11/'برآورد محصول'!$D$58*ماهیانه*'برآورد محصول'!$D$77*'برآوردهاي پايه'!$F$5</f>
        <v>0.43555489106479606</v>
      </c>
      <c r="BD26" s="457">
        <f>BD$25*'برآورد محصول'!$D$51*'تبديل واحد و اعداد ثابت'!$D$11/'برآورد محصول'!$D$58*ماهیانه*'برآورد محصول'!$D$77*'برآوردهاي پايه'!$F$5</f>
        <v>0.42911811927566113</v>
      </c>
      <c r="BE26" s="457">
        <f>BE$25*'برآورد محصول'!$D$51*'تبديل واحد و اعداد ثابت'!$D$11/'برآورد محصول'!$D$58*ماهیانه*'برآورد محصول'!$D$77*'برآوردهاي پايه'!$F$5</f>
        <v>0.42277647219276965</v>
      </c>
      <c r="BF26" s="457">
        <f>BF$25*'برآورد محصول'!$D$51*'تبديل واحد و اعداد ثابت'!$D$11/'برآورد محصول'!$D$58*ماهیانه*'برآورد محصول'!$D$77*'برآوردهاي پايه'!$F$5</f>
        <v>0.41652854403228551</v>
      </c>
      <c r="BG26" s="457">
        <f>BG$25*'برآورد محصول'!$D$51*'تبديل واحد و اعداد ثابت'!$D$11/'برآورد محصول'!$D$58*ماهیانه*'برآورد محصول'!$D$77*'برآوردهاي پايه'!$F$5</f>
        <v>0.41037294978550287</v>
      </c>
      <c r="BH26" s="457">
        <f>BH$25*'برآورد محصول'!$D$51*'تبديل واحد و اعداد ثابت'!$D$11/'برآورد محصول'!$D$58*ماهیانه*'برآورد محصول'!$D$77*'برآوردهاي پايه'!$F$5</f>
        <v>0.40430832491182556</v>
      </c>
      <c r="BI26" s="457">
        <f>BI$25*'برآورد محصول'!$D$51*'تبديل واحد و اعداد ثابت'!$D$11/'برآورد محصول'!$D$58*ماهیانه*'برآورد محصول'!$D$77*'برآوردهاي پايه'!$F$5</f>
        <v>0.39833332503628144</v>
      </c>
      <c r="BJ26" s="457">
        <f>BJ$25*'برآورد محصول'!$D$51*'تبديل واحد و اعداد ثابت'!$D$11/'برآورد محصول'!$D$58*ماهیانه*'برآورد محصول'!$D$77*'برآوردهاي پايه'!$F$5</f>
        <v>0.39244662565150884</v>
      </c>
      <c r="BK26" s="457">
        <f>BK$25*'برآورد محصول'!$D$51*'تبديل واحد و اعداد ثابت'!$D$11/'برآورد محصول'!$D$58*ماهیانه*'برآورد محصول'!$D$77*'برآوردهاي پايه'!$F$5</f>
        <v>0.38664692182414673</v>
      </c>
      <c r="BL26" s="457">
        <f>BL$25*'برآورد محصول'!$D$51*'تبديل واحد و اعداد ثابت'!$D$11/'برآورد محصول'!$D$58*ماهیانه*'برآورد محصول'!$D$77*'برآوردهاي پايه'!$G$5</f>
        <v>0.37708512055298188</v>
      </c>
      <c r="BM26" s="457">
        <f>BM$25*'برآورد محصول'!$D$51*'تبديل واحد و اعداد ثابت'!$D$11/'برآورد محصول'!$D$58*ماهیانه*'برآورد محصول'!$D$77*'برآوردهاي پايه'!$G$5</f>
        <v>0.37151243404234668</v>
      </c>
      <c r="BN26" s="457">
        <f>BN$25*'برآورد محصول'!$D$51*'تبديل واحد و اعداد ثابت'!$D$11/'برآورد محصول'!$D$58*ماهیانه*'برآورد محصول'!$D$77*'برآوردهاي پايه'!$G$5</f>
        <v>0.36602210250477518</v>
      </c>
      <c r="BO26" s="457">
        <f>BO$25*'برآورد محصول'!$D$51*'تبديل واحد و اعداد ثابت'!$D$11/'برآورد محصول'!$D$58*ماهیانه*'برآورد محصول'!$D$77*'برآوردهاي پايه'!$G$5</f>
        <v>0.36061290887169967</v>
      </c>
      <c r="BP26" s="457">
        <f>BP$25*'برآورد محصول'!$D$51*'تبديل واحد و اعداد ثابت'!$D$11/'برآورد محصول'!$D$58*ماهیانه*'برآورد محصول'!$D$77*'برآوردهاي پايه'!$G$5</f>
        <v>0.35528365406078788</v>
      </c>
      <c r="BQ26" s="457">
        <f>BQ$25*'برآورد محصول'!$D$51*'تبديل واحد و اعداد ثابت'!$D$11/'برآورد محصول'!$D$58*ماهیانه*'برآورد محصول'!$D$77*'برآوردهاي پايه'!$G$5</f>
        <v>0.35003315671013591</v>
      </c>
      <c r="BR26" s="457">
        <f>BR$25*'برآورد محصول'!$D$51*'تبديل واحد و اعداد ثابت'!$D$11/'برآورد محصول'!$D$58*ماهیانه*'برآورد محصول'!$D$77*'برآوردهاي پايه'!$G$5</f>
        <v>0.34486025291639011</v>
      </c>
      <c r="BS26" s="457">
        <f>BS$25*'برآورد محصول'!$D$51*'تبديل واحد و اعداد ثابت'!$D$11/'برآورد محصول'!$D$58*ماهیانه*'برآورد محصول'!$D$77*'برآوردهاي پايه'!$G$5</f>
        <v>0.33976379597673911</v>
      </c>
      <c r="BT26" s="457">
        <f>BT$25*'برآورد محصول'!$D$51*'تبديل واحد و اعداد ثابت'!$D$11/'برآورد محصول'!$D$58*ماهیانه*'برآورد محصول'!$D$77*'برآوردهاي پايه'!$G$5</f>
        <v>0.33474265613471832</v>
      </c>
      <c r="BU26" s="457">
        <f>BU$25*'برآورد محصول'!$D$51*'تبديل واحد و اعداد ثابت'!$D$11/'برآورد محصول'!$D$58*ماهیانه*'برآورد محصول'!$D$77*'برآوردهاي پايه'!$G$5</f>
        <v>0.32979572032977189</v>
      </c>
      <c r="BV26" s="457">
        <f>BV$25*'برآورد محصول'!$D$51*'تبديل واحد و اعداد ثابت'!$D$11/'برآورد محصول'!$D$58*ماهیانه*'برآورد محصول'!$D$77*'برآوردهاي پايه'!$G$5</f>
        <v>0.32492189195051424</v>
      </c>
      <c r="BW26" s="457">
        <f>BW$25*'برآورد محصول'!$D$51*'تبديل واحد و اعداد ثابت'!$D$11/'برآورد محصول'!$D$58*ماهیانه*'برآورد محصول'!$D$77*'برآوردهاي پايه'!$G$5</f>
        <v>0.32012009059163965</v>
      </c>
      <c r="BX26" s="457">
        <f>BX$25*'برآورد محصول'!$D$51*'تبديل واحد و اعداد ثابت'!$D$11/'برآورد محصول'!$D$58*ماهیانه*'برآورد محصول'!$D$77*'برآوردهاي پايه'!$H$5</f>
        <v>0.31217099414284755</v>
      </c>
      <c r="BY26" s="457">
        <f>BY$25*'برآورد محصول'!$D$51*'تبديل واحد و اعداد ثابت'!$D$11/'برآورد محصول'!$D$58*ماهیانه*'برآورد محصول'!$D$77*'برآوردهاي پايه'!$H$5</f>
        <v>0.30755762969738681</v>
      </c>
      <c r="BZ26" s="457">
        <f>BZ$25*'برآورد محصول'!$D$51*'تبديل واحد و اعداد ثابت'!$D$11/'برآورد محصول'!$D$58*ماهیانه*'برآورد محصول'!$D$77*'برآوردهاي پايه'!$H$5</f>
        <v>0.30301244305161257</v>
      </c>
      <c r="CA26" s="457">
        <f>CA$25*'برآورد محصول'!$D$51*'تبديل واحد و اعداد ثابت'!$D$11/'برآورد محصول'!$D$58*ماهیانه*'برآورد محصول'!$D$77*'برآوردهاي پايه'!$H$5</f>
        <v>0.29853442665183516</v>
      </c>
      <c r="CB26" s="457">
        <f>CB$25*'برآورد محصول'!$D$51*'تبديل واحد و اعداد ثابت'!$D$11/'برآورد محصول'!$D$58*ماهیانه*'برآورد محصول'!$D$77*'برآوردهاي پايه'!$H$5</f>
        <v>0.29412258783432038</v>
      </c>
      <c r="CC26" s="457">
        <f>CC$25*'برآورد محصول'!$D$51*'تبديل واحد و اعداد ثابت'!$D$11/'برآورد محصول'!$D$58*ماهیانه*'برآورد محصول'!$D$77*'برآوردهاي پايه'!$H$5</f>
        <v>0.28977594860524186</v>
      </c>
      <c r="CD26" s="457">
        <f>CD$25*'برآورد محصول'!$D$51*'تبديل واحد و اعداد ثابت'!$D$11/'برآورد محصول'!$D$58*ماهیانه*'برآورد محصول'!$D$77*'برآوردهاي پايه'!$H$5</f>
        <v>0.28549354542388355</v>
      </c>
      <c r="CE26" s="457">
        <f>CE$25*'برآورد محصول'!$D$51*'تبديل واحد و اعداد ثابت'!$D$11/'برآورد محصول'!$D$58*ماهیانه*'برآورد محصول'!$D$77*'برآوردهاي پايه'!$H$5</f>
        <v>0.28127442898904786</v>
      </c>
      <c r="CF26" s="457">
        <f>CF$25*'برآورد محصول'!$D$51*'تبديل واحد و اعداد ثابت'!$D$11/'برآورد محصول'!$D$58*ماهیانه*'برآورد محصول'!$D$77*'برآوردهاي پايه'!$H$5</f>
        <v>0.2771176640286187</v>
      </c>
      <c r="CG26" s="457">
        <f>CG$25*'برآورد محصول'!$D$51*'تبديل واحد و اعداد ثابت'!$D$11/'برآورد محصول'!$D$58*ماهیانه*'برآورد محصول'!$D$77*'برآوردهاي پايه'!$H$5</f>
        <v>0.27302232909223517</v>
      </c>
      <c r="CH26" s="457">
        <f>CH$25*'برآورد محصول'!$D$51*'تبديل واحد و اعداد ثابت'!$D$11/'برآورد محصول'!$D$58*ماهیانه*'برآورد محصول'!$D$77*'برآوردهاي پايه'!$H$5</f>
        <v>0.26898751634702978</v>
      </c>
      <c r="CI26" s="457">
        <f>CI$25*'برآورد محصول'!$D$51*'تبديل واحد و اعداد ثابت'!$D$11/'برآورد محصول'!$D$58*ماهیانه*'برآورد محصول'!$D$77*'برآوردهاي پايه'!$H$5</f>
        <v>0.26501233137638408</v>
      </c>
      <c r="CJ26" s="457">
        <f>CJ$25*'برآورد محصول'!$D$51*'تبديل واحد و اعداد ثابت'!$D$11/'برآورد محصول'!$D$58*ماهیانه*'برآورد محصول'!$D$77*'برآوردهاي پايه'!$I$5</f>
        <v>0.25840418274473481</v>
      </c>
      <c r="CK26" s="457">
        <f>CK$25*'برآورد محصول'!$D$51*'تبديل واحد و اعداد ثابت'!$D$11/'برآورد محصول'!$D$58*ماهیانه*'برآورد محصول'!$D$77*'برآوردهاي پايه'!$I$5</f>
        <v>0.25458540171895072</v>
      </c>
      <c r="CL26" s="457">
        <f>CL$25*'برآورد محصول'!$D$51*'تبديل واحد و اعداد ثابت'!$D$11/'برآورد محصول'!$D$58*ماهیانه*'برآورد محصول'!$D$77*'برآوردهاي پايه'!$I$5</f>
        <v>0.25082305588073961</v>
      </c>
      <c r="CM26" s="457">
        <f>CM$25*'برآورد محصول'!$D$51*'تبديل واحد و اعداد ثابت'!$D$11/'برآورد محصول'!$D$58*ماهیانه*'برآورد محصول'!$D$77*'برآوردهاي پايه'!$I$5</f>
        <v>0.24711631121255134</v>
      </c>
      <c r="CN26" s="457">
        <f>CN$25*'برآورد محصول'!$D$51*'تبديل واحد و اعداد ثابت'!$D$11/'برآورد محصول'!$D$58*ماهیانه*'برآورد محصول'!$D$77*'برآوردهاي پايه'!$I$5</f>
        <v>0.24346434602221817</v>
      </c>
      <c r="CO26" s="457">
        <f>CO$25*'برآورد محصول'!$D$51*'تبديل واحد و اعداد ثابت'!$D$11/'برآورد محصول'!$D$58*ماهیانه*'برآورد محصول'!$D$77*'برآوردهاي پايه'!$I$5</f>
        <v>0.23986635076080606</v>
      </c>
      <c r="CP26" s="457">
        <f>CP$25*'برآورد محصول'!$D$51*'تبديل واحد و اعداد ثابت'!$D$11/'برآورد محصول'!$D$58*ماهیانه*'برآورد محصول'!$D$77*'برآوردهاي پايه'!$I$5</f>
        <v>0.23632152784315866</v>
      </c>
      <c r="CQ26" s="457">
        <f>CQ$25*'برآورد محصول'!$D$51*'تبديل واحد و اعداد ثابت'!$D$11/'برآورد محصول'!$D$58*ماهیانه*'برآورد محصول'!$D$77*'برآوردهاي پايه'!$I$5</f>
        <v>0.2328290914710924</v>
      </c>
      <c r="CR26" s="457">
        <f>CR$25*'برآورد محصول'!$D$51*'تبديل واحد و اعداد ثابت'!$D$11/'برآورد محصول'!$D$58*ماهیانه*'برآورد محصول'!$D$77*'برآوردهاي پايه'!$I$5</f>
        <v>0.22938826745920429</v>
      </c>
      <c r="CS26" s="457">
        <f>CS$25*'برآورد محصول'!$D$51*'تبديل واحد و اعداد ثابت'!$D$11/'برآورد محصول'!$D$58*ماهیانه*'برآورد محصول'!$D$77*'برآوردهاي پايه'!$I$5</f>
        <v>0.22599829306325553</v>
      </c>
      <c r="CT26" s="457">
        <f>CT$25*'برآورد محصول'!$D$51*'تبديل واحد و اعداد ثابت'!$D$11/'برآورد محصول'!$D$58*ماهیانه*'برآورد محصول'!$D$77*'برآوردهاي پايه'!$I$5</f>
        <v>0.22265841681108925</v>
      </c>
      <c r="CU26" s="457">
        <f>CU$25*'برآورد محصول'!$D$51*'تبديل واحد و اعداد ثابت'!$D$11/'برآورد محصول'!$D$58*ماهیانه*'برآورد محصول'!$D$77*'برآوردهاي پايه'!$I$5</f>
        <v>0.21936789833604853</v>
      </c>
      <c r="CV26" s="457">
        <f>CV$25*'برآورد محصول'!$D$52*'تبديل واحد و اعداد ثابت'!$D$11/'برآورد محصول'!$D$58*ماهیانه*'برآورد محصول'!$D$77*'برآوردهاي پايه'!$J$5</f>
        <v>0.10767996828458071</v>
      </c>
      <c r="CW26" s="457">
        <f>CW$25*'برآورد محصول'!$D$52*'تبديل واحد و اعداد ثابت'!$D$11/'برآورد محصول'!$D$58*ماهیانه*'برآورد محصول'!$D$77*'برآوردهاي پايه'!$J$5</f>
        <v>0.10682536536168719</v>
      </c>
      <c r="CX26" s="457">
        <f>CX$25*'برآورد محصول'!$D$52*'تبديل واحد و اعداد ثابت'!$D$11/'برآورد محصول'!$D$58*ماهیانه*'برآورد محصول'!$D$77*'برآوردهاي پايه'!$J$5</f>
        <v>0.10597754500167379</v>
      </c>
      <c r="CY26" s="457">
        <f>CY$25*'برآورد محصول'!$D$52*'تبديل واحد و اعداد ثابت'!$D$11/'برآورد محصول'!$D$58*ماهیانه*'برآورد محصول'!$D$77*'برآوردهاي پايه'!$J$5</f>
        <v>0.10513645337467636</v>
      </c>
      <c r="CZ26" s="457">
        <f>CZ$25*'برآورد محصول'!$D$52*'تبديل واحد و اعداد ثابت'!$D$11/'برآورد محصول'!$D$58*ماهیانه*'برآورد محصول'!$D$77*'برآوردهاي پايه'!$J$5</f>
        <v>0.10430203707805195</v>
      </c>
      <c r="DA26" s="457">
        <f>DA$25*'برآورد محصول'!$D$52*'تبديل واحد و اعداد ثابت'!$D$11/'برآورد محصول'!$D$58*ماهیانه*'برآورد محصول'!$D$77*'برآوردهاي پايه'!$J$5</f>
        <v>0.10347424313298806</v>
      </c>
      <c r="DB26" s="457">
        <f>DB$25*'برآورد محصول'!$D$52*'تبديل واحد و اعداد ثابت'!$D$11/'برآورد محصول'!$D$58*ماهیانه*'برآورد محصول'!$D$77*'برآوردهاي پايه'!$J$5</f>
        <v>0.10265301898113892</v>
      </c>
      <c r="DC26" s="457">
        <f>DC$25*'برآورد محصول'!$D$52*'تبديل واحد و اعداد ثابت'!$D$11/'برآورد محصول'!$D$58*ماهیانه*'برآورد محصول'!$D$77*'برآوردهاي پايه'!$J$5</f>
        <v>0.10183831248128862</v>
      </c>
      <c r="DD26" s="457">
        <f>DD$25*'برآورد محصول'!$D$52*'تبديل واحد و اعداد ثابت'!$D$11/'برآورد محصول'!$D$58*ماهیانه*'برآورد محصول'!$D$77*'برآوردهاي پايه'!$J$5</f>
        <v>0.10103007190604028</v>
      </c>
      <c r="DE26" s="457">
        <f>DE$25*'برآورد محصول'!$D$52*'تبديل واحد و اعداد ثابت'!$D$11/'برآورد محصول'!$D$58*ماهیانه*'برآورد محصول'!$D$77*'برآوردهاي پايه'!$J$5</f>
        <v>0.10022824593853202</v>
      </c>
      <c r="DF26" s="457">
        <f>DF$25*'برآورد محصول'!$D$52*'تبديل واحد و اعداد ثابت'!$D$11/'برآورد محصول'!$D$58*ماهیانه*'برآورد محصول'!$D$77*'برآوردهاي پايه'!$J$5</f>
        <v>9.943278366917857E-2</v>
      </c>
      <c r="DG26" s="457">
        <f>DG$25*'برآورد محصول'!$D$52*'تبديل واحد و اعداد ثابت'!$D$11/'برآورد محصول'!$D$58*ماهیانه*'برآورد محصول'!$D$77*'برآوردهاي پايه'!$J$5</f>
        <v>9.8643634592439092E-2</v>
      </c>
      <c r="DH26" s="457">
        <f>DH$25*'برآورد محصول'!$D$52*'تبديل واحد و اعداد ثابت'!$D$11/'برآورد محصول'!$D$58*ماهیانه*'برآورد محصول'!$D$77*'برآوردهاي پايه'!$K$5</f>
        <v>9.6830635460414302E-2</v>
      </c>
      <c r="DI26" s="457">
        <f>DI$25*'برآورد محصول'!$D$52*'تبديل واحد و اعداد ثابت'!$D$11/'برآورد محصول'!$D$58*ماهیانه*'برآورد محصول'!$D$77*'برآوردهاي پايه'!$K$5</f>
        <v>9.6062138353585597E-2</v>
      </c>
      <c r="DJ26" s="457">
        <f>DJ$25*'برآورد محصول'!$D$52*'تبديل واحد و اعداد ثابت'!$D$11/'برآورد محصول'!$D$58*ماهیانه*'برآورد محصول'!$D$77*'برآوردهاي پايه'!$K$5</f>
        <v>9.5299740430144456E-2</v>
      </c>
      <c r="DK26" s="457">
        <f>DK$25*'برآورد محصول'!$D$52*'تبديل واحد و اعداد ثابت'!$D$11/'برآورد محصول'!$D$58*ماهیانه*'برآورد محصول'!$D$77*'برآوردهاي پايه'!$K$5</f>
        <v>9.4543393283873484E-2</v>
      </c>
      <c r="DL26" s="457">
        <f>DL$25*'برآورد محصول'!$D$52*'تبديل واحد و اعداد ثابت'!$D$11/'برآورد محصول'!$D$58*ماهیانه*'برآورد محصول'!$D$77*'برآوردهاي پايه'!$K$5</f>
        <v>9.3793048892731587E-2</v>
      </c>
      <c r="DM26" s="457">
        <f>DM$25*'برآورد محصول'!$D$52*'تبديل واحد و اعداد ثابت'!$D$11/'برآورد محصول'!$D$58*ماهیانه*'برآورد محصول'!$D$77*'برآوردهاي پايه'!$K$5</f>
        <v>9.3048659615805149E-2</v>
      </c>
      <c r="DN26" s="457">
        <f>DN$25*'برآورد محصول'!$D$52*'تبديل واحد و اعداد ثابت'!$D$11/'برآورد محصول'!$D$58*ماهیانه*'برآورد محصول'!$D$77*'برآوردهاي پايه'!$K$5</f>
        <v>9.2310178190282866E-2</v>
      </c>
      <c r="DO26" s="457">
        <f>DO$25*'برآورد محصول'!$D$52*'تبديل واحد و اعداد ثابت'!$D$11/'برآورد محصول'!$D$58*ماهیانه*'برآورد محصول'!$D$77*'برآوردهاي پايه'!$K$5</f>
        <v>9.1577557728455258E-2</v>
      </c>
      <c r="DP26" s="457">
        <f>DP$25*'برآورد محصول'!$D$52*'تبديل واحد و اعداد ثابت'!$D$11/'برآورد محصول'!$D$58*ماهیانه*'برآورد محصول'!$D$77*'برآوردهاي پايه'!$K$5</f>
        <v>9.0850751714737332E-2</v>
      </c>
      <c r="DQ26" s="457">
        <f>DQ$25*'برآورد محصول'!$D$52*'تبديل واحد و اعداد ثابت'!$D$11/'برآورد محصول'!$D$58*ماهیانه*'برآورد محصول'!$D$77*'برآوردهاي پايه'!$K$5</f>
        <v>9.0129714002715619E-2</v>
      </c>
      <c r="DR26" s="457">
        <f>DR$25*'برآورد محصول'!$D$52*'تبديل واحد و اعداد ثابت'!$D$11/'برآورد محصول'!$D$58*ماهیانه*'برآورد محصول'!$D$77*'برآوردهاي پايه'!$K$5</f>
        <v>8.9414398812217868E-2</v>
      </c>
      <c r="DS26" s="457">
        <f>DS$25*'برآورد محصول'!$D$52*'تبديل واحد و اعداد ثابت'!$D$11/'برآورد محصول'!$D$58*ماهیانه*'برآورد محصول'!$D$77*'برآوردهاي پايه'!$K$5</f>
        <v>8.8704760726406595E-2</v>
      </c>
      <c r="DT26" s="457">
        <f>DT$25*'برآورد محصول'!$D$52*'تبديل واحد و اعداد ثابت'!$D$11/'برآورد محصول'!$D$58*ماهیانه*'برآورد محصول'!$D$77*'برآوردهاي پايه'!$L$5</f>
        <v>8.7064576447524231E-2</v>
      </c>
      <c r="DU26" s="457">
        <f>DU$25*'برآورد محصول'!$D$52*'تبديل واحد و اعداد ثابت'!$D$11/'برآورد محصول'!$D$58*ماهیانه*'برآورد محصول'!$D$77*'برآوردهاي پايه'!$L$5</f>
        <v>8.6373587745559727E-2</v>
      </c>
      <c r="DV26" s="457">
        <f>DV$25*'برآورد محصول'!$D$52*'تبديل واحد و اعداد ثابت'!$D$11/'برآورد محصول'!$D$58*ماهیانه*'برآورد محصول'!$D$77*'برآوردهاي پايه'!$L$5</f>
        <v>8.5688083080912442E-2</v>
      </c>
      <c r="DW26" s="457">
        <f>DW$25*'برآورد محصول'!$D$52*'تبديل واحد و اعداد ثابت'!$D$11/'برآورد محصول'!$D$58*ماهیانه*'برآورد محصول'!$D$77*'برآوردهاي پايه'!$L$5</f>
        <v>8.5008018929476611E-2</v>
      </c>
      <c r="DX26" s="457">
        <f>DX$25*'برآورد محصول'!$D$52*'تبديل واحد و اعداد ثابت'!$D$11/'برآورد محصول'!$D$58*ماهیانه*'برآورد محصول'!$D$77*'برآوردهاي پايه'!$L$5</f>
        <v>8.4333352112576018E-2</v>
      </c>
      <c r="DY26" s="457">
        <f>DY$25*'برآورد محصول'!$D$52*'تبديل واحد و اعداد ثابت'!$D$11/'برآورد محصول'!$D$58*ماهیانه*'برآورد محصول'!$D$77*'برآوردهاي پايه'!$L$5</f>
        <v>8.3664039794222253E-2</v>
      </c>
      <c r="DZ26" s="457">
        <f>DZ$25*'برآورد محصول'!$D$52*'تبديل واحد و اعداد ثابت'!$D$11/'برآورد محصول'!$D$58*ماهیانه*'برآورد محصول'!$D$77*'برآوردهاي پايه'!$L$5</f>
        <v>8.3000039478395057E-2</v>
      </c>
      <c r="EA26" s="457">
        <f>EA$25*'برآورد محصول'!$D$52*'تبديل واحد و اعداد ثابت'!$D$11/'برآورد محصول'!$D$58*ماهیانه*'برآورد محصول'!$D$77*'برآوردهاي پايه'!$L$5</f>
        <v>8.2341309006344329E-2</v>
      </c>
      <c r="EB26" s="457">
        <f>EB$25*'برآورد محصول'!$D$52*'تبديل واحد و اعداد ثابت'!$D$11/'برآورد محصول'!$D$58*ماهیانه*'برآورد محصول'!$D$77*'برآوردهاي پايه'!$L$5</f>
        <v>8.1687806553913E-2</v>
      </c>
      <c r="EC26" s="457">
        <f>EC$25*'برآورد محصول'!$D$52*'تبديل واحد و اعداد ثابت'!$D$11/'برآورد محصول'!$D$58*ماهیانه*'برآورد محصول'!$D$77*'برآوردهاي پايه'!$L$5</f>
        <v>8.1039490628881938E-2</v>
      </c>
      <c r="ED26" s="457">
        <f>ED$25*'برآورد محصول'!$D$52*'تبديل واحد و اعداد ثابت'!$D$11/'برآورد محصول'!$D$58*ماهیانه*'برآورد محصول'!$D$77*'برآوردهاي پايه'!$L$5</f>
        <v>8.0396320068335261E-2</v>
      </c>
      <c r="EE26" s="457">
        <f>EE$25*'برآورد محصول'!$D$52*'تبديل واحد و اعداد ثابت'!$D$11/'برآورد محصول'!$D$58*ماهیانه*'برآورد محصول'!$D$77*'برآوردهاي پايه'!$L$5</f>
        <v>7.9758254036046888E-2</v>
      </c>
      <c r="EF26" s="457">
        <f>EF$25*'برآورد محصول'!$D$52*'تبديل واحد و اعداد ثابت'!$D$11/'برآورد محصول'!$D$58*ماهیانه*'برآورد محصول'!$D$77*'برآوردهاي پايه'!$M$5</f>
        <v>7.82744428583836E-2</v>
      </c>
      <c r="EG26" s="457">
        <f>EG$25*'برآورد محصول'!$D$52*'تبديل واحد و اعداد ثابت'!$D$11/'برآورد محصول'!$D$58*ماهیانه*'برآورد محصول'!$D$77*'برآوردهاي پايه'!$M$5</f>
        <v>7.7653217121412307E-2</v>
      </c>
      <c r="EH26" s="457">
        <f>EH$25*'برآورد محصول'!$D$52*'تبديل واحد و اعداد ثابت'!$D$11/'برآورد محصول'!$D$58*ماهیانه*'برآورد محصول'!$D$77*'برآوردهاي پايه'!$M$5</f>
        <v>7.7036921747432832E-2</v>
      </c>
      <c r="EI26" s="457">
        <f>EI$25*'برآورد محصول'!$D$52*'تبديل واحد و اعداد ثابت'!$D$11/'برآورد محصول'!$D$58*ماهیانه*'برآورد محصول'!$D$77*'برآوردهاي پايه'!$M$5</f>
        <v>7.6425517606580201E-2</v>
      </c>
      <c r="EJ26" s="457">
        <f>EJ$25*'برآورد محصول'!$D$52*'تبديل واحد و اعداد ثابت'!$D$11/'برآورد محصول'!$D$58*ماهیانه*'برآورد محصول'!$D$77*'برآوردهاي پايه'!$M$5</f>
        <v>7.5818965879543829E-2</v>
      </c>
      <c r="EK26" s="457">
        <f>EK$25*'برآورد محصول'!$D$52*'تبديل واحد و اعداد ثابت'!$D$11/'برآورد محصول'!$D$58*ماهیانه*'برآورد محصول'!$D$77*'برآوردهاي پايه'!$M$5</f>
        <v>7.5217228055103003E-2</v>
      </c>
      <c r="EL26" s="457">
        <f>EL$25*'برآورد محصول'!$D$52*'تبديل واحد و اعداد ثابت'!$D$11/'برآورد محصول'!$D$58*ماهیانه*'برآورد محصول'!$D$77*'برآوردهاي پايه'!$M$5</f>
        <v>7.4620265927681548E-2</v>
      </c>
      <c r="EM26" s="457">
        <f>EM$25*'برآورد محصول'!$D$52*'تبديل واحد و اعداد ثابت'!$D$11/'برآورد محصول'!$D$58*ماهیانه*'برآورد محصول'!$D$77*'برآوردهاي پايه'!$M$5</f>
        <v>7.402804159492217E-2</v>
      </c>
      <c r="EN26" s="457">
        <f>EN$25*'برآورد محصول'!$D$52*'تبديل واحد و اعداد ثابت'!$D$11/'برآورد محصول'!$D$58*ماهیانه*'برآورد محصول'!$D$77*'برآوردهاي پايه'!$M$5</f>
        <v>7.3440517455279949E-2</v>
      </c>
      <c r="EO26" s="457">
        <f>EO$25*'برآورد محصول'!$D$52*'تبديل واحد و اعداد ثابت'!$D$11/'برآورد محصول'!$D$58*ماهیانه*'برآورد محصول'!$D$77*'برآوردهاي پايه'!$M$5</f>
        <v>7.2857656205634863E-2</v>
      </c>
      <c r="EP26" s="457">
        <f>EP$25*'برآورد محصول'!$D$52*'تبديل واحد و اعداد ثابت'!$D$11/'برآورد محصول'!$D$58*ماهیانه*'برآورد محصول'!$D$77*'برآوردهاي پايه'!$M$5</f>
        <v>7.2279420838923483E-2</v>
      </c>
      <c r="EQ26" s="457">
        <f>EQ$25*'برآورد محصول'!$D$52*'تبديل واحد و اعداد ثابت'!$D$11/'برآورد محصول'!$D$58*ماهیانه*'برآورد محصول'!$D$77*'برآوردهاي پايه'!$M$5</f>
        <v>7.1705774641789136E-2</v>
      </c>
      <c r="ER26" s="457">
        <f>ER$25*'برآورد محصول'!$D$53*'تبديل واحد و اعداد ثابت'!$D$11/'برآورد محصول'!$D$58*ماهیانه*'برآورد محصول'!$D$77*'برآوردهاي پايه'!$N$5</f>
        <v>3.5181728198341589E-2</v>
      </c>
      <c r="ES26" s="457">
        <f>ES$25*'برآورد محصول'!$D$53*'تبديل واحد و اعداد ثابت'!$D$11/'برآورد محصول'!$D$58*ماهیانه*'برآورد محصول'!$D$77*'برآوردهاي پايه'!$N$5</f>
        <v>3.4902508133275383E-2</v>
      </c>
      <c r="ET26" s="457">
        <f>ET$25*'برآورد محصول'!$D$53*'تبديل واحد و اعداد ثابت'!$D$11/'برآورد محصول'!$D$58*ماهیانه*'برآورد محصول'!$D$77*'برآوردهاي پايه'!$N$5</f>
        <v>3.4625504100471605E-2</v>
      </c>
      <c r="EU26" s="457">
        <f>EU$25*'برآورد محصول'!$D$53*'تبديل واحد و اعداد ثابت'!$D$11/'برآورد محصول'!$D$58*ماهیانه*'برآورد محصول'!$D$77*'برآوردهاي پايه'!$N$5</f>
        <v>3.4350698512372622E-2</v>
      </c>
      <c r="EV26" s="457">
        <f>EV$25*'برآورد محصول'!$D$53*'تبديل واحد و اعداد ثابت'!$D$11/'برآورد محصول'!$D$58*ماهیانه*'برآورد محصول'!$D$77*'برآوردهاي پايه'!$N$5</f>
        <v>3.4078073921004592E-2</v>
      </c>
      <c r="EW26" s="457">
        <f>EW$25*'برآورد محصول'!$D$53*'تبديل واحد و اعداد ثابت'!$D$11/'برآورد محصول'!$D$58*ماهیانه*'برآورد محصول'!$D$77*'برآوردهاي پايه'!$N$5</f>
        <v>3.3807613016869631E-2</v>
      </c>
      <c r="EX26" s="457">
        <f>EX$25*'برآورد محصول'!$D$53*'تبديل واحد و اعداد ثابت'!$D$11/'برآورد محصول'!$D$58*ماهیانه*'برآورد محصول'!$D$77*'برآوردهاي پايه'!$N$5</f>
        <v>3.3539298627846853E-2</v>
      </c>
      <c r="EY26" s="457">
        <f>EY$25*'برآورد محصول'!$D$53*'تبديل واحد و اعداد ثابت'!$D$11/'برآورد محصول'!$D$58*ماهیانه*'برآورد محصول'!$D$77*'برآوردهاي پايه'!$N$5</f>
        <v>3.3273113718102029E-2</v>
      </c>
      <c r="EZ26" s="457">
        <f>EZ$25*'برآورد محصول'!$D$53*'تبديل واحد و اعداد ثابت'!$D$11/'برآورد محصول'!$D$58*ماهیانه*'برآورد محصول'!$D$77*'برآوردهاي پايه'!$N$5</f>
        <v>3.3009041387005979E-2</v>
      </c>
      <c r="FA26" s="457">
        <f>FA$25*'برآورد محصول'!$D$53*'تبديل واحد و اعداد ثابت'!$D$11/'برآورد محصول'!$D$58*ماهیانه*'برآورد محصول'!$D$77*'برآوردهاي پايه'!$N$5</f>
        <v>3.2747064868061497E-2</v>
      </c>
      <c r="FB26" s="457">
        <f>FB$25*'برآورد محصول'!$D$53*'تبديل واحد و اعداد ثابت'!$D$11/'برآورد محصول'!$D$58*ماهیانه*'برآورد محصول'!$D$77*'برآوردهاي پايه'!$N$5</f>
        <v>3.248716752783877E-2</v>
      </c>
      <c r="FC26" s="457">
        <f>FC$25*'برآورد محصول'!$D$53*'تبديل واحد و اعداد ثابت'!$D$11/'برآورد محصول'!$D$58*ماهیانه*'برآورد محصول'!$D$77*'برآوردهاي پايه'!$N$5</f>
        <v>3.2229332864919413E-2</v>
      </c>
      <c r="FD26" s="457">
        <f>FD$25*'برآورد محصول'!$D$53*'تبديل واحد و اعداد ثابت'!$D$11/'برآورد محصول'!$D$58*ماهیانه*'برآورد محصول'!$D$77*'برآوردهاي پايه'!$O$5</f>
        <v>3.1622186876883264E-2</v>
      </c>
      <c r="FE26" s="457">
        <f>FE$25*'برآورد محصول'!$D$53*'تبديل واحد و اعداد ثابت'!$D$11/'برآورد محصول'!$D$58*ماهیانه*'برآورد محصول'!$D$77*'برآوردهاي پايه'!$O$5</f>
        <v>3.1371217139765137E-2</v>
      </c>
      <c r="FF26" s="457">
        <f>FF$25*'برآورد محصول'!$D$53*'تبديل واحد و اعداد ثابت'!$D$11/'برآورد محصول'!$D$58*ماهیانه*'برآورد محصول'!$D$77*'برآوردهاي پايه'!$O$5</f>
        <v>3.1122239225957481E-2</v>
      </c>
      <c r="FG26" s="457">
        <f>FG$25*'برآورد محصول'!$D$53*'تبديل واحد و اعداد ثابت'!$D$11/'برآورد محصول'!$D$58*ماهیانه*'برآورد محصول'!$D$77*'برآوردهاي پايه'!$O$5</f>
        <v>3.0875237327338764E-2</v>
      </c>
      <c r="FH26" s="457">
        <f>FH$25*'برآورد محصول'!$D$53*'تبديل واحد و اعداد ثابت'!$D$11/'برآورد محصول'!$D$58*ماهیانه*'برآورد محصول'!$D$77*'برآوردهاي پايه'!$O$5</f>
        <v>3.0630195761248775E-2</v>
      </c>
      <c r="FI26" s="457">
        <f>FI$25*'برآورد محصول'!$D$53*'تبديل واحد و اعداد ثابت'!$D$11/'برآورد محصول'!$D$58*ماهیانه*'برآورد محصول'!$D$77*'برآوردهاي پايه'!$O$5</f>
        <v>3.0387098969492831E-2</v>
      </c>
      <c r="FJ26" s="457">
        <f>FJ$25*'برآورد محصول'!$D$53*'تبديل واحد و اعداد ثابت'!$D$11/'برآورد محصول'!$D$58*ماهیانه*'برآورد محصول'!$D$77*'برآوردهاي پايه'!$O$5</f>
        <v>3.0145931517353997E-2</v>
      </c>
      <c r="FK26" s="457">
        <f>FK$25*'برآورد محصول'!$D$53*'تبديل واحد و اعداد ثابت'!$D$11/'برآورد محصول'!$D$58*ماهیانه*'برآورد محصول'!$D$77*'برآوردهاي پايه'!$O$5</f>
        <v>2.99066780926131E-2</v>
      </c>
      <c r="FL26" s="457">
        <f>FL$25*'برآورد محصول'!$D$53*'تبديل واحد و اعداد ثابت'!$D$11/'برآورد محصول'!$D$58*ماهیانه*'برآورد محصول'!$D$77*'برآوردهاي پايه'!$O$5</f>
        <v>2.9669323504576475E-2</v>
      </c>
      <c r="FM26" s="457">
        <f>FM$25*'برآورد محصول'!$D$53*'تبديل واحد و اعداد ثابت'!$D$11/'برآورد محصول'!$D$58*ماهیانه*'برآورد محصول'!$D$77*'برآوردهاي پايه'!$O$5</f>
        <v>2.9433852683111595E-2</v>
      </c>
      <c r="FN26" s="457">
        <f>FN$25*'برآورد محصول'!$D$53*'تبديل واحد و اعداد ثابت'!$D$11/'برآورد محصول'!$D$58*ماهیانه*'برآورد محصول'!$D$77*'برآوردهاي پايه'!$O$5</f>
        <v>2.9200250677690061E-2</v>
      </c>
      <c r="FO26" s="457">
        <f>FO$25*'برآورد محصول'!$D$53*'تبديل واحد و اعداد ثابت'!$D$11/'برآورد محصول'!$D$58*ماهیانه*'برآورد محصول'!$D$77*'برآوردهاي پايه'!$O$5</f>
        <v>2.8968502656438549E-2</v>
      </c>
      <c r="FP26" s="457">
        <f>FP$25*'برآورد محصول'!$D$53*'تبديل واحد و اعداد ثابت'!$D$11/'برآورد محصول'!$D$58*ماهیانه*'برآورد محصول'!$D$77*'برآوردهاي پايه'!$P$5</f>
        <v>2.8419276195139228E-2</v>
      </c>
      <c r="FQ26" s="457">
        <f>FQ$25*'برآورد محصول'!$D$53*'تبديل واحد و اعداد ثابت'!$D$11/'برآورد محصول'!$D$58*ماهیانه*'برآورد محصول'!$D$77*'برآوردهاي پايه'!$P$5</f>
        <v>2.8193726384066697E-2</v>
      </c>
      <c r="FR26" s="457">
        <f>FR$25*'برآورد محصول'!$D$53*'تبديل واحد و اعداد ثابت'!$D$11/'برآورد محصول'!$D$58*ماهیانه*'برآورد محصول'!$D$77*'برآوردهاي پايه'!$P$5</f>
        <v>2.796996665085982E-2</v>
      </c>
      <c r="FS26" s="457">
        <f>FS$25*'برآورد محصول'!$D$53*'تبديل واحد و اعداد ثابت'!$D$11/'برآورد محصول'!$D$58*ماهیانه*'برآورد محصول'!$D$77*'برآوردهاي پايه'!$P$5</f>
        <v>2.7747982788551399E-2</v>
      </c>
      <c r="FT26" s="457">
        <f>FT$25*'برآورد محصول'!$D$53*'تبديل واحد و اعداد ثابت'!$D$11/'برآورد محصول'!$D$58*ماهیانه*'برآورد محصول'!$D$77*'برآوردهاي پايه'!$P$5</f>
        <v>2.7527760702927978E-2</v>
      </c>
      <c r="FU26" s="457">
        <f>FU$25*'برآورد محصول'!$D$53*'تبديل واحد و اعداد ثابت'!$D$11/'برآورد محصول'!$D$58*ماهیانه*'برآورد محصول'!$D$77*'برآوردهاي پايه'!$P$5</f>
        <v>2.7309286411634902E-2</v>
      </c>
      <c r="FV26" s="457">
        <f>FV$25*'برآورد محصول'!$D$53*'تبديل واحد و اعداد ثابت'!$D$11/'برآورد محصول'!$D$58*ماهیانه*'برآورد محصول'!$D$77*'برآوردهاي پايه'!$P$5</f>
        <v>2.7092546043288583E-2</v>
      </c>
      <c r="FW26" s="457">
        <f>FW$25*'برآورد محصول'!$D$53*'تبديل واحد و اعداد ثابت'!$D$11/'برآورد محصول'!$D$58*ماهیانه*'برآورد محصول'!$D$77*'برآوردهاي پايه'!$P$5</f>
        <v>2.6877525836595816E-2</v>
      </c>
      <c r="FX26" s="457">
        <f>FX$25*'برآورد محصول'!$D$53*'تبديل واحد و اعداد ثابت'!$D$11/'برآورد محصول'!$D$58*ماهیانه*'برآورد محصول'!$D$77*'برآوردهاي پايه'!$P$5</f>
        <v>2.6664212139479983E-2</v>
      </c>
      <c r="FY26" s="457">
        <f>FY$25*'برآورد محصول'!$D$53*'تبديل واحد و اعداد ثابت'!$D$11/'برآورد محصول'!$D$58*ماهیانه*'برآورد محصول'!$D$77*'برآوردهاي پايه'!$P$5</f>
        <v>2.6452591408214269E-2</v>
      </c>
      <c r="FZ26" s="457">
        <f>FZ$25*'برآورد محصول'!$D$53*'تبديل واحد و اعداد ثابت'!$D$11/'برآورد محصول'!$D$58*ماهیانه*'برآورد محصول'!$D$77*'برآوردهاي پايه'!$P$5</f>
        <v>2.6242650206561767E-2</v>
      </c>
      <c r="GA26" s="457">
        <f>GA$25*'برآورد محصول'!$D$53*'تبديل واحد و اعداد ثابت'!$D$11/'برآورد محصول'!$D$58*ماهیانه*'برآورد محصول'!$D$77*'برآوردهاي پايه'!$P$5</f>
        <v>2.603437520492239E-2</v>
      </c>
      <c r="GB26" s="457">
        <f>GB$25*'برآورد محصول'!$D$53*'تبديل واحد و اعداد ثابت'!$D$11/'برآورد محصول'!$D$58*ماهیانه*'برآورد محصول'!$D$77*'برآوردهاي پايه'!$Q$5</f>
        <v>2.5537553705559678E-2</v>
      </c>
      <c r="GC26" s="457">
        <f>GC$25*'برآورد محصول'!$D$53*'تبديل واحد و اعداد ثابت'!$D$11/'برآورد محصول'!$D$58*ماهیانه*'برآورد محصول'!$D$77*'برآوردهاي پايه'!$Q$5</f>
        <v>2.5334874707896502E-2</v>
      </c>
      <c r="GD26" s="457">
        <f>GD$25*'برآورد محصول'!$D$53*'تبديل واحد و اعداد ثابت'!$D$11/'برآورد محصول'!$D$58*ماهیانه*'برآورد محصول'!$D$77*'برآوردهاي پايه'!$Q$5</f>
        <v>2.5133804273706851E-2</v>
      </c>
      <c r="GE26" s="457">
        <f>GE$25*'برآورد محصول'!$D$53*'تبديل واحد و اعداد ثابت'!$D$11/'برآورد محصول'!$D$58*ماهیانه*'برآورد محصول'!$D$77*'برآوردهاي پايه'!$Q$5</f>
        <v>2.493432963661394E-2</v>
      </c>
      <c r="GF26" s="457">
        <f>GF$25*'برآورد محصول'!$D$53*'تبديل واحد و اعداد ثابت'!$D$11/'برآورد محصول'!$D$58*ماهیانه*'برآورد محصول'!$D$77*'برآوردهاي پايه'!$Q$5</f>
        <v>2.4736438131561449E-2</v>
      </c>
      <c r="GG26" s="457">
        <f>GG$25*'برآورد محصول'!$D$53*'تبديل واحد و اعداد ثابت'!$D$11/'برآورد محصول'!$D$58*ماهیانه*'برآورد محصول'!$D$77*'برآوردهاي پايه'!$Q$5</f>
        <v>2.4540117194009375E-2</v>
      </c>
      <c r="GH26" s="457">
        <f>GH$25*'برآورد محصول'!$D$53*'تبديل واحد و اعداد ثابت'!$D$11/'برآورد محصول'!$D$58*ماهیانه*'برآورد محصول'!$D$77*'برآوردهاي پايه'!$Q$5</f>
        <v>2.4345354359136279E-2</v>
      </c>
      <c r="GI26" s="457">
        <f>GI$25*'برآورد محصول'!$D$53*'تبديل واحد و اعداد ثابت'!$D$11/'برآورد محصول'!$D$58*ماهیانه*'برآورد محصول'!$D$77*'برآوردهاي پايه'!$Q$5</f>
        <v>2.4152137261047896E-2</v>
      </c>
      <c r="GJ26" s="457">
        <f>GJ$25*'برآورد محصول'!$D$53*'تبديل واحد و اعداد ثابت'!$D$11/'برآورد محصول'!$D$58*ماهیانه*'برآورد محصول'!$D$77*'برآوردهاي پايه'!$Q$5</f>
        <v>2.3960453631991955E-2</v>
      </c>
      <c r="GK26" s="457">
        <f>GK$25*'برآورد محصول'!$D$53*'تبديل واحد و اعداد ثابت'!$D$11/'برآورد محصول'!$D$58*ماهیانه*'برآورد محصول'!$D$77*'برآوردهاي پايه'!$Q$5</f>
        <v>2.3770291301579326E-2</v>
      </c>
      <c r="GL26" s="457">
        <f>GL$25*'برآورد محصول'!$D$53*'تبديل واحد و اعداد ثابت'!$D$11/'برآورد محصول'!$D$58*ماهیانه*'برآورد محصول'!$D$77*'برآوردهاي پايه'!$Q$5</f>
        <v>2.358163819601124E-2</v>
      </c>
      <c r="GM26" s="470">
        <f>GM$25*'برآورد محصول'!$D$53*'تبديل واحد و اعداد ثابت'!$D$11/'برآورد محصول'!$D$58*ماهیانه*'برآورد محصول'!$D$77*'برآوردهاي پايه'!$Q$5</f>
        <v>2.3394482337312724E-2</v>
      </c>
    </row>
    <row r="27" spans="2:195" hidden="1" x14ac:dyDescent="0.75">
      <c r="B27" s="495" t="s">
        <v>5884</v>
      </c>
      <c r="C27" s="305" t="s">
        <v>11</v>
      </c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715"/>
      <c r="O27" s="715"/>
      <c r="P27" s="715"/>
      <c r="Q27" s="715"/>
      <c r="R27" s="715"/>
      <c r="S27" s="715"/>
      <c r="T27" s="715"/>
      <c r="U27" s="715"/>
      <c r="V27" s="715"/>
      <c r="W27" s="715"/>
      <c r="X27" s="715"/>
      <c r="Y27" s="715"/>
      <c r="Z27" s="715"/>
      <c r="AA27" s="715"/>
      <c r="AB27" s="459">
        <f>'برآورد محصول'!$D$67*(1+'انتخاب سناریو و وضعيت بازار'!$D$22)^درآمدها!AB23</f>
        <v>148315.52786577228</v>
      </c>
      <c r="AC27" s="459">
        <f>'برآورد محصول'!$D$67*(1+'انتخاب سناریو و وضعيت بازار'!$D$22)^درآمدها!AC23</f>
        <v>152023.41606241657</v>
      </c>
      <c r="AD27" s="459">
        <f>'برآورد محصول'!$D$67*(1+'انتخاب سناریو و وضعيت بازار'!$D$22)^درآمدها!AD23</f>
        <v>155824.00146397698</v>
      </c>
      <c r="AE27" s="459">
        <f>'برآورد محصول'!$D$67*(1+'انتخاب سناریو و وضعيت بازار'!$D$22)^درآمدها!AE23</f>
        <v>159719.60150057639</v>
      </c>
      <c r="AF27" s="459">
        <f>'برآورد محصول'!$D$67*(1+'انتخاب سناریو و وضعيت بازار'!$D$22)^درآمدها!AF23</f>
        <v>163712.59153809081</v>
      </c>
      <c r="AG27" s="459">
        <f>'برآورد محصول'!$D$67*(1+'انتخاب سناریو و وضعيت بازار'!$D$22)^درآمدها!AG23</f>
        <v>167805.40632654304</v>
      </c>
      <c r="AH27" s="459">
        <f>'برآورد محصول'!$D$67*(1+'انتخاب سناریو و وضعيت بازار'!$D$22)^درآمدها!AH23</f>
        <v>172000.54148470666</v>
      </c>
      <c r="AI27" s="459">
        <f>'برآورد محصول'!$D$67*(1+'انتخاب سناریو و وضعيت بازار'!$D$22)^درآمدها!AI23</f>
        <v>176300.55502182429</v>
      </c>
      <c r="AJ27" s="459">
        <f>'برآورد محصول'!$D$67*(1+'انتخاب سناریو و وضعيت بازار'!$D$22)^درآمدها!AJ23</f>
        <v>180708.0688973699</v>
      </c>
      <c r="AK27" s="459">
        <f>'برآورد محصول'!$D$67*(1+'انتخاب سناریو و وضعيت بازار'!$D$22)^درآمدها!AK23</f>
        <v>185225.77061980413</v>
      </c>
      <c r="AL27" s="459">
        <f>'برآورد محصول'!$D$67*(1+'انتخاب سناریو و وضعيت بازار'!$D$22)^درآمدها!AL23</f>
        <v>189856.41488529922</v>
      </c>
      <c r="AM27" s="459">
        <f>'برآورد محصول'!$D$67*(1+'انتخاب سناریو و وضعيت بازار'!$D$22)^درآمدها!AM23</f>
        <v>194602.82525743172</v>
      </c>
      <c r="AN27" s="459">
        <f>'برآورد محصول'!$D$67*(1+'انتخاب سناریو و وضعيت بازار'!$D$22)^درآمدها!AN23</f>
        <v>199467.89588886747</v>
      </c>
      <c r="AO27" s="459">
        <f>'برآورد محصول'!$D$67*(1+'انتخاب سناریو و وضعيت بازار'!$D$22)^درآمدها!AO23</f>
        <v>204454.59328608913</v>
      </c>
      <c r="AP27" s="459">
        <f>'برآورد محصول'!$D$67*(1+'انتخاب سناریو و وضعيت بازار'!$D$22)^درآمدها!AP23</f>
        <v>209565.95811824137</v>
      </c>
      <c r="AQ27" s="459">
        <f>'برآورد محصول'!$D$67*(1+'انتخاب سناریو و وضعيت بازار'!$D$22)^درآمدها!AQ23</f>
        <v>214805.10707119739</v>
      </c>
      <c r="AR27" s="459">
        <f>'برآورد محصول'!$D$67*(1+'انتخاب سناریو و وضعيت بازار'!$D$22)^درآمدها!AR23</f>
        <v>220175.23474797732</v>
      </c>
      <c r="AS27" s="459">
        <f>'برآورد محصول'!$D$67*(1+'انتخاب سناریو و وضعيت بازار'!$D$22)^درآمدها!AS23</f>
        <v>225679.61561667672</v>
      </c>
      <c r="AT27" s="459">
        <f>'برآورد محصول'!$D$67*(1+'انتخاب سناریو و وضعيت بازار'!$D$22)^درآمدها!AT23</f>
        <v>231321.60600709365</v>
      </c>
      <c r="AU27" s="459">
        <f>'برآورد محصول'!$D$67*(1+'انتخاب سناریو و وضعيت بازار'!$D$22)^درآمدها!AU23</f>
        <v>237104.64615727094</v>
      </c>
      <c r="AV27" s="459">
        <f>'برآورد محصول'!$D$67*(1+'انتخاب سناریو و وضعيت بازار'!$D$22)^درآمدها!AV23</f>
        <v>243032.26231120274</v>
      </c>
      <c r="AW27" s="459">
        <f>'برآورد محصول'!$D$67*(1+'انتخاب سناریو و وضعيت بازار'!$D$22)^درآمدها!AW23</f>
        <v>249108.06886898275</v>
      </c>
      <c r="AX27" s="459">
        <f>'برآورد محصول'!$D$67*(1+'انتخاب سناریو و وضعيت بازار'!$D$22)^درآمدها!AX23</f>
        <v>255335.77059070737</v>
      </c>
      <c r="AY27" s="459">
        <f>'برآورد محصول'!$D$67*(1+'انتخاب سناریو و وضعيت بازار'!$D$22)^درآمدها!AY23</f>
        <v>261719.16485547501</v>
      </c>
      <c r="AZ27" s="459">
        <f>$AY$27*(1+'انتخاب سناریو و وضعيت بازار'!$E$22)^(درآمدها!AZ23-$AY$23)</f>
        <v>266953.54815258452</v>
      </c>
      <c r="BA27" s="459">
        <f>$AY$27*(1+'انتخاب سناریو و وضعيت بازار'!$E$22)^(درآمدها!BA23-$AY$23)</f>
        <v>272292.61911563622</v>
      </c>
      <c r="BB27" s="459">
        <f>$AY$27*(1+'انتخاب سناریو و وضعيت بازار'!$E$22)^(درآمدها!BB23-$AY$23)</f>
        <v>277738.47149794892</v>
      </c>
      <c r="BC27" s="459">
        <f>$AY$27*(1+'انتخاب سناریو و وضعيت بازار'!$E$22)^(درآمدها!BC23-$AY$23)</f>
        <v>283293.24092790793</v>
      </c>
      <c r="BD27" s="459">
        <f>$AY$27*(1+'انتخاب سناریو و وضعيت بازار'!$E$22)^(درآمدها!BD23-$AY$23)</f>
        <v>288959.10574646608</v>
      </c>
      <c r="BE27" s="459">
        <f>$AY$27*(1+'انتخاب سناریو و وضعيت بازار'!$E$22)^(درآمدها!BE23-$AY$23)</f>
        <v>294738.28786139539</v>
      </c>
      <c r="BF27" s="459">
        <f>$AY$27*(1+'انتخاب سناریو و وضعيت بازار'!$E$22)^(درآمدها!BF23-$AY$23)</f>
        <v>300633.05361862323</v>
      </c>
      <c r="BG27" s="459">
        <f>$AY$27*(1+'انتخاب سناریو و وضعيت بازار'!$E$22)^(درآمدها!BG23-$AY$23)</f>
        <v>306645.71469099575</v>
      </c>
      <c r="BH27" s="459">
        <f>$AY$27*(1+'انتخاب سناریو و وضعيت بازار'!$E$22)^(درآمدها!BH23-$AY$23)</f>
        <v>312778.62898481567</v>
      </c>
      <c r="BI27" s="459">
        <f>$AY$27*(1+'انتخاب سناریو و وضعيت بازار'!$E$22)^(درآمدها!BI23-$AY$23)</f>
        <v>319034.20156451198</v>
      </c>
      <c r="BJ27" s="459">
        <f>$AY$27*(1+'انتخاب سناریو و وضعيت بازار'!$E$22)^(درآمدها!BJ23-$AY$23)</f>
        <v>325414.88559580216</v>
      </c>
      <c r="BK27" s="459">
        <f>$AY$27*(1+'انتخاب سناریو و وضعيت بازار'!$E$22)^(درآمدها!BK23-$AY$23)</f>
        <v>331923.18330771825</v>
      </c>
      <c r="BL27" s="459">
        <f>$AY$27*(1+'انتخاب سناریو و وضعيت بازار'!$E$22)^(درآمدها!BL23-$AY$23)</f>
        <v>338561.64697387262</v>
      </c>
      <c r="BM27" s="459">
        <f>$AY$27*(1+'انتخاب سناریو و وضعيت بازار'!$E$22)^(درآمدها!BM23-$AY$23)</f>
        <v>345332.8799133501</v>
      </c>
      <c r="BN27" s="459">
        <f>$AY$27*(1+'انتخاب سناریو و وضعيت بازار'!$E$22)^(درآمدها!BN23-$AY$23)</f>
        <v>352239.537511617</v>
      </c>
      <c r="BO27" s="459">
        <f>$AY$27*(1+'انتخاب سناریو و وضعيت بازار'!$E$22)^(درآمدها!BO23-$AY$23)</f>
        <v>359284.32826184941</v>
      </c>
      <c r="BP27" s="459">
        <f>$AY$27*(1+'انتخاب سناریو و وضعيت بازار'!$E$22)^(درآمدها!BP23-$AY$23)</f>
        <v>366470.01482708642</v>
      </c>
      <c r="BQ27" s="459">
        <f>$AY$27*(1+'انتخاب سناریو و وضعيت بازار'!$E$22)^(درآمدها!BQ23-$AY$23)</f>
        <v>373799.4151236281</v>
      </c>
      <c r="BR27" s="459">
        <f>$AY$27*(1+'انتخاب سناریو و وضعيت بازار'!$E$22)^(درآمدها!BR23-$AY$23)</f>
        <v>381275.40342610067</v>
      </c>
      <c r="BS27" s="459">
        <f>$AY$27*(1+'انتخاب سناریو و وضعيت بازار'!$E$22)^(درآمدها!BS23-$AY$23)</f>
        <v>388900.91149462271</v>
      </c>
      <c r="BT27" s="459">
        <f>$AY$27*(1+'انتخاب سناریو و وضعيت بازار'!$E$22)^(درآمدها!BT23-$AY$23)</f>
        <v>396678.92972451512</v>
      </c>
      <c r="BU27" s="459">
        <f>$AY$27*(1+'انتخاب سناریو و وضعيت بازار'!$E$22)^(درآمدها!BU23-$AY$23)</f>
        <v>404612.50831900543</v>
      </c>
      <c r="BV27" s="459">
        <f>$AY$27*(1+'انتخاب سناریو و وضعيت بازار'!$E$22)^(درآمدها!BV23-$AY$23)</f>
        <v>412704.75848538551</v>
      </c>
      <c r="BW27" s="459">
        <f>$AY$27*(1+'انتخاب سناریو و وضعيت بازار'!$E$22)^(درآمدها!BW23-$AY$23)</f>
        <v>420958.85365509323</v>
      </c>
      <c r="BX27" s="459">
        <f>$AY$27*(1+'انتخاب سناریو و وضعيت بازار'!$E$22)^(درآمدها!BX23-$AY$23)</f>
        <v>429378.0307281951</v>
      </c>
      <c r="BY27" s="459">
        <f>$AY$27*(1+'انتخاب سناریو و وضعيت بازار'!$E$22)^(درآمدها!BY23-$AY$23)</f>
        <v>437965.59134275903</v>
      </c>
      <c r="BZ27" s="459">
        <f>$AY$27*(1+'انتخاب سناریو و وضعيت بازار'!$E$22)^(درآمدها!BZ23-$AY$23)</f>
        <v>446724.90316961415</v>
      </c>
      <c r="CA27" s="459">
        <f>$AY$27*(1+'انتخاب سناریو و وضعيت بازار'!$E$22)^(درآمدها!CA23-$AY$23)</f>
        <v>455659.4012330065</v>
      </c>
      <c r="CB27" s="459">
        <f>$AY$27*(1+'انتخاب سناریو و وضعيت بازار'!$E$22)^(درآمدها!CB23-$AY$23)</f>
        <v>464772.58925766655</v>
      </c>
      <c r="CC27" s="459">
        <f>$AY$27*(1+'انتخاب سناریو و وضعيت بازار'!$E$22)^(درآمدها!CC23-$AY$23)</f>
        <v>474068.04104281991</v>
      </c>
      <c r="CD27" s="459">
        <f>$AY$27*(1+'انتخاب سناریو و وضعيت بازار'!$E$22)^(درآمدها!CD23-$AY$23)</f>
        <v>483549.4018636762</v>
      </c>
      <c r="CE27" s="459">
        <f>$AY$27*(1+'انتخاب سناریو و وضعيت بازار'!$E$22)^(درآمدها!CE23-$AY$23)</f>
        <v>493220.38990094984</v>
      </c>
      <c r="CF27" s="459">
        <f>$AY$27*(1+'انتخاب سناریو و وضعيت بازار'!$E$22)^(درآمدها!CF23-$AY$23)</f>
        <v>503084.79769896891</v>
      </c>
      <c r="CG27" s="459">
        <f>$AY$27*(1+'انتخاب سناریو و وضعيت بازار'!$E$22)^(درآمدها!CG23-$AY$23)</f>
        <v>513146.49365294824</v>
      </c>
      <c r="CH27" s="459">
        <f>$AY$27*(1+'انتخاب سناریو و وضعيت بازار'!$E$22)^(درآمدها!CH23-$AY$23)</f>
        <v>523409.42352600716</v>
      </c>
      <c r="CI27" s="459">
        <f>$AY$27*(1+'انتخاب سناریو و وضعيت بازار'!$E$22)^(درآمدها!CI23-$AY$23)</f>
        <v>533877.6119965273</v>
      </c>
      <c r="CJ27" s="459">
        <f>$AY$27*(1+'انتخاب سناریو و وضعيت بازار'!$E$22)^(درآمدها!CJ23-$AY$23)</f>
        <v>544555.1642364579</v>
      </c>
      <c r="CK27" s="459">
        <f>$AY$27*(1+'انتخاب سناریو و وضعيت بازار'!$E$22)^(درآمدها!CK23-$AY$23)</f>
        <v>555446.26752118708</v>
      </c>
      <c r="CL27" s="459">
        <f>$AY$27*(1+'انتخاب سناریو و وضعيت بازار'!$E$22)^(درآمدها!CL23-$AY$23)</f>
        <v>566555.19287161063</v>
      </c>
      <c r="CM27" s="459">
        <f>$AY$27*(1+'انتخاب سناریو و وضعيت بازار'!$E$22)^(درآمدها!CM23-$AY$23)</f>
        <v>577886.29672904301</v>
      </c>
      <c r="CN27" s="459">
        <f>$AY$27*(1+'انتخاب سناریو و وضعيت بازار'!$E$22)^(درآمدها!CN23-$AY$23)</f>
        <v>589444.02266362379</v>
      </c>
      <c r="CO27" s="459">
        <f>$AY$27*(1+'انتخاب سناریو و وضعيت بازار'!$E$22)^(درآمدها!CO23-$AY$23)</f>
        <v>601232.90311689628</v>
      </c>
      <c r="CP27" s="459">
        <f>$AY$27*(1+'انتخاب سناریو و وضعيت بازار'!$E$22)^(درآمدها!CP23-$AY$23)</f>
        <v>613257.56117923418</v>
      </c>
      <c r="CQ27" s="459">
        <f>$AY$27*(1+'انتخاب سناریو و وضعيت بازار'!$E$22)^(درآمدها!CQ23-$AY$23)</f>
        <v>625522.71240281896</v>
      </c>
      <c r="CR27" s="459">
        <f>$AY$27*(1+'انتخاب سناریو و وضعيت بازار'!$E$22)^(درآمدها!CR23-$AY$23)</f>
        <v>638033.16665087524</v>
      </c>
      <c r="CS27" s="459">
        <f>$AY$27*(1+'انتخاب سناریو و وضعيت بازار'!$E$22)^(درآمدها!CS23-$AY$23)</f>
        <v>650793.82998389285</v>
      </c>
      <c r="CT27" s="459">
        <f>$AY$27*(1+'انتخاب سناریو و وضعيت بازار'!$E$22)^(درآمدها!CT23-$AY$23)</f>
        <v>663809.70658357046</v>
      </c>
      <c r="CU27" s="459">
        <f>$AY$27*(1+'انتخاب سناریو و وضعيت بازار'!$E$22)^(درآمدها!CU23-$AY$23)</f>
        <v>677085.90071524202</v>
      </c>
      <c r="CV27" s="459">
        <f>$CU$27*(1+'انتخاب سناریو و وضعيت بازار'!$F$22)^(درآمدها!CV23-$CU$23)</f>
        <v>687242.18922597053</v>
      </c>
      <c r="CW27" s="459">
        <f>$CU$27*(1+'انتخاب سناریو و وضعيت بازار'!$F$22)^(درآمدها!CW23-$CU$23)</f>
        <v>697550.82206436002</v>
      </c>
      <c r="CX27" s="459">
        <f>$CU$27*(1+'انتخاب سناریو و وضعيت بازار'!$F$22)^(درآمدها!CX23-$CU$23)</f>
        <v>708014.08439532539</v>
      </c>
      <c r="CY27" s="459">
        <f>$CU$27*(1+'انتخاب سناریو و وضعيت بازار'!$F$22)^(درآمدها!CY23-$CU$23)</f>
        <v>718634.29566125514</v>
      </c>
      <c r="CZ27" s="459">
        <f>$CU$27*(1+'انتخاب سناریو و وضعيت بازار'!$F$22)^(درآمدها!CZ23-$CU$23)</f>
        <v>729413.8100961739</v>
      </c>
      <c r="DA27" s="459">
        <f>$CU$27*(1+'انتخاب سناریو و وضعيت بازار'!$F$22)^(درآمدها!DA23-$CU$23)</f>
        <v>740355.01724761631</v>
      </c>
      <c r="DB27" s="459">
        <f>$CU$27*(1+'انتخاب سناریو و وضعيت بازار'!$F$22)^(درآمدها!DB23-$CU$23)</f>
        <v>751460.34250633046</v>
      </c>
      <c r="DC27" s="459">
        <f>$CU$27*(1+'انتخاب سناریو و وضعيت بازار'!$F$22)^(درآمدها!DC23-$CU$23)</f>
        <v>762732.24764392537</v>
      </c>
      <c r="DD27" s="459">
        <f>$CU$27*(1+'انتخاب سناریو و وضعيت بازار'!$F$22)^(درآمدها!DD23-$CU$23)</f>
        <v>774173.23135858413</v>
      </c>
      <c r="DE27" s="459">
        <f>$CU$27*(1+'انتخاب سناریو و وضعيت بازار'!$F$22)^(درآمدها!DE23-$CU$23)</f>
        <v>785785.8298289628</v>
      </c>
      <c r="DF27" s="459">
        <f>$CU$27*(1+'انتخاب سناریو و وضعيت بازار'!$F$22)^(درآمدها!DF23-$CU$23)</f>
        <v>797572.61727639718</v>
      </c>
      <c r="DG27" s="459">
        <f>$CU$27*(1+'انتخاب سناریو و وضعيت بازار'!$F$22)^(درآمدها!DG23-$CU$23)</f>
        <v>809536.20653554297</v>
      </c>
      <c r="DH27" s="459">
        <f>$CU$27*(1+'انتخاب سناریو و وضعيت بازار'!$F$22)^(درآمدها!DH23-$CU$23)</f>
        <v>821679.24963357602</v>
      </c>
      <c r="DI27" s="459">
        <f>$CU$27*(1+'انتخاب سناریو و وضعيت بازار'!$F$22)^(درآمدها!DI23-$CU$23)</f>
        <v>834004.43837807945</v>
      </c>
      <c r="DJ27" s="459">
        <f>$CU$27*(1+'انتخاب سناریو و وضعيت بازار'!$F$22)^(درآمدها!DJ23-$CU$23)</f>
        <v>846514.50495375053</v>
      </c>
      <c r="DK27" s="459">
        <f>$CU$27*(1+'انتخاب سناریو و وضعيت بازار'!$F$22)^(درآمدها!DK23-$CU$23)</f>
        <v>859212.22252805671</v>
      </c>
      <c r="DL27" s="459">
        <f>$CU$27*(1+'انتخاب سناریو و وضعيت بازار'!$F$22)^(درآمدها!DL23-$CU$23)</f>
        <v>872100.4058659774</v>
      </c>
      <c r="DM27" s="459">
        <f>$CU$27*(1+'انتخاب سناریو و وضعيت بازار'!$F$22)^(درآمدها!DM23-$CU$23)</f>
        <v>885181.91195396695</v>
      </c>
      <c r="DN27" s="459">
        <f>$CU$27*(1+'انتخاب سناریو و وضعيت بازار'!$F$22)^(درآمدها!DN23-$CU$23)</f>
        <v>898459.64063327643</v>
      </c>
      <c r="DO27" s="459">
        <f>$CU$27*(1+'انتخاب سناریو و وضعيت بازار'!$F$22)^(درآمدها!DO23-$CU$23)</f>
        <v>911936.53524277534</v>
      </c>
      <c r="DP27" s="459">
        <f>$CU$27*(1+'انتخاب سناریو و وضعيت بازار'!$F$22)^(درآمدها!DP23-$CU$23)</f>
        <v>925615.58327141684</v>
      </c>
      <c r="DQ27" s="459">
        <f>$CU$27*(1+'انتخاب سناریو و وضعيت بازار'!$F$22)^(درآمدها!DQ23-$CU$23)</f>
        <v>939499.81702048786</v>
      </c>
      <c r="DR27" s="459">
        <f>$CU$27*(1+'انتخاب سناریو و وضعيت بازار'!$F$22)^(درآمدها!DR23-$CU$23)</f>
        <v>953592.31427579513</v>
      </c>
      <c r="DS27" s="459">
        <f>$CU$27*(1+'انتخاب سناریو و وضعيت بازار'!$F$22)^(درآمدها!DS23-$CU$23)</f>
        <v>967896.19898993196</v>
      </c>
      <c r="DT27" s="459">
        <f>$CU$27*(1+'انتخاب سناریو و وضعيت بازار'!$F$22)^(درآمدها!DT23-$CU$23)</f>
        <v>982414.64197478082</v>
      </c>
      <c r="DU27" s="459">
        <f>$CU$27*(1+'انتخاب سناریو و وضعيت بازار'!$F$22)^(درآمدها!DU23-$CU$23)</f>
        <v>997150.86160440242</v>
      </c>
      <c r="DV27" s="459">
        <f>$CU$27*(1+'انتخاب سناریو و وضعيت بازار'!$F$22)^(درآمدها!DV23-$CU$23)</f>
        <v>1012108.1245284684</v>
      </c>
      <c r="DW27" s="459">
        <f>$CU$27*(1+'انتخاب سناریو و وضعيت بازار'!$F$22)^(درآمدها!DW23-$CU$23)</f>
        <v>1027289.7463963951</v>
      </c>
      <c r="DX27" s="459">
        <f>$CU$27*(1+'انتخاب سناریو و وضعيت بازار'!$F$22)^(درآمدها!DX23-$CU$23)</f>
        <v>1042699.092592341</v>
      </c>
      <c r="DY27" s="459">
        <f>$CU$27*(1+'انتخاب سناریو و وضعيت بازار'!$F$22)^(درآمدها!DY23-$CU$23)</f>
        <v>1058339.5789812258</v>
      </c>
      <c r="DZ27" s="459">
        <f>$CU$27*(1+'انتخاب سناریو و وضعيت بازار'!$F$22)^(درآمدها!DZ23-$CU$23)</f>
        <v>1074214.6726659441</v>
      </c>
      <c r="EA27" s="459">
        <f>$CU$27*(1+'انتخاب سناریو و وضعيت بازار'!$F$22)^(درآمدها!EA23-$CU$23)</f>
        <v>1090327.8927559331</v>
      </c>
      <c r="EB27" s="459">
        <f>$CU$27*(1+'انتخاب سناریو و وضعيت بازار'!$F$22)^(درآمدها!EB23-$CU$23)</f>
        <v>1106682.8111472719</v>
      </c>
      <c r="EC27" s="459">
        <f>$CU$27*(1+'انتخاب سناریو و وضعيت بازار'!$F$22)^(درآمدها!EC23-$CU$23)</f>
        <v>1123283.0533144809</v>
      </c>
      <c r="ED27" s="459">
        <f>$CU$27*(1+'انتخاب سناریو و وضعيت بازار'!$F$22)^(درآمدها!ED23-$CU$23)</f>
        <v>1140132.299114198</v>
      </c>
      <c r="EE27" s="459">
        <f>$CU$27*(1+'انتخاب سناریو و وضعيت بازار'!$F$22)^(درآمدها!EE23-$CU$23)</f>
        <v>1157234.2836009108</v>
      </c>
      <c r="EF27" s="459">
        <f>$CU$27*(1+'انتخاب سناریو و وضعيت بازار'!$F$22)^(درآمدها!EF23-$CU$23)</f>
        <v>1174592.7978549243</v>
      </c>
      <c r="EG27" s="459">
        <f>$CU$27*(1+'انتخاب سناریو و وضعيت بازار'!$F$22)^(درآمدها!EG23-$CU$23)</f>
        <v>1192211.6898227481</v>
      </c>
      <c r="EH27" s="459">
        <f>$CU$27*(1+'انتخاب سناریو و وضعيت بازار'!$F$22)^(درآمدها!EH23-$CU$23)</f>
        <v>1210094.8651700891</v>
      </c>
      <c r="EI27" s="459">
        <f>$CU$27*(1+'انتخاب سناریو و وضعيت بازار'!$F$22)^(درآمدها!EI23-$CU$23)</f>
        <v>1228246.2881476402</v>
      </c>
      <c r="EJ27" s="459">
        <f>$CU$27*(1+'انتخاب سناریو و وضعيت بازار'!$F$22)^(درآمدها!EJ23-$CU$23)</f>
        <v>1246669.9824698546</v>
      </c>
      <c r="EK27" s="459">
        <f>$CU$27*(1+'انتخاب سناریو و وضعيت بازار'!$F$22)^(درآمدها!EK23-$CU$23)</f>
        <v>1265370.0322069023</v>
      </c>
      <c r="EL27" s="459">
        <f>$CU$27*(1+'انتخاب سناریو و وضعيت بازار'!$F$22)^(درآمدها!EL23-$CU$23)</f>
        <v>1284350.5826900057</v>
      </c>
      <c r="EM27" s="459">
        <f>$CU$27*(1+'انتخاب سناریو و وضعيت بازار'!$F$22)^(درآمدها!EM23-$CU$23)</f>
        <v>1303615.8414303556</v>
      </c>
      <c r="EN27" s="459">
        <f>$CU$27*(1+'انتخاب سناریو و وضعيت بازار'!$F$22)^(درآمدها!EN23-$CU$23)</f>
        <v>1323170.0790518108</v>
      </c>
      <c r="EO27" s="459">
        <f>$CU$27*(1+'انتخاب سناریو و وضعيت بازار'!$F$22)^(درآمدها!EO23-$CU$23)</f>
        <v>1343017.6302375877</v>
      </c>
      <c r="EP27" s="459">
        <f>$CU$27*(1+'انتخاب سناریو و وضعيت بازار'!$F$22)^(درآمدها!EP23-$CU$23)</f>
        <v>1363162.8946911513</v>
      </c>
      <c r="EQ27" s="459">
        <f>$CU$27*(1+'انتخاب سناریو و وضعيت بازار'!$F$22)^(درآمدها!EQ23-$CU$23)</f>
        <v>1383610.3381115184</v>
      </c>
      <c r="ER27" s="459">
        <f>$EQ$27*(1+'انتخاب سناریو و وضعيت بازار'!$G$22)^(درآمدها!ER23-$EQ$23)</f>
        <v>1397446.4414926337</v>
      </c>
      <c r="ES27" s="459">
        <f>$EQ$27*(1+'انتخاب سناریو و وضعيت بازار'!$G$22)^(درآمدها!ES23-$EQ$23)</f>
        <v>1411420.9059075599</v>
      </c>
      <c r="ET27" s="459">
        <f>$EQ$27*(1+'انتخاب سناریو و وضعيت بازار'!$G$22)^(درآمدها!ET23-$EQ$23)</f>
        <v>1425535.1149666354</v>
      </c>
      <c r="EU27" s="459">
        <f>$EQ$27*(1+'انتخاب سناریو و وضعيت بازار'!$G$22)^(درآمدها!EU23-$EQ$23)</f>
        <v>1439790.4661163019</v>
      </c>
      <c r="EV27" s="459">
        <f>$EQ$27*(1+'انتخاب سناریو و وضعيت بازار'!$G$22)^(درآمدها!EV23-$EQ$23)</f>
        <v>1454188.3707774647</v>
      </c>
      <c r="EW27" s="459">
        <f>$EQ$27*(1+'انتخاب سناریو و وضعيت بازار'!$G$22)^(درآمدها!EW23-$EQ$23)</f>
        <v>1468730.2544852397</v>
      </c>
      <c r="EX27" s="459">
        <f>$EQ$27*(1+'انتخاب سناریو و وضعيت بازار'!$G$22)^(درآمدها!EX23-$EQ$23)</f>
        <v>1483417.5570300918</v>
      </c>
      <c r="EY27" s="459">
        <f>$EQ$27*(1+'انتخاب سناریو و وضعيت بازار'!$G$22)^(درآمدها!EY23-$EQ$23)</f>
        <v>1498251.732600393</v>
      </c>
      <c r="EZ27" s="459">
        <f>$EQ$27*(1+'انتخاب سناریو و وضعيت بازار'!$G$22)^(درآمدها!EZ23-$EQ$23)</f>
        <v>1513234.2499263971</v>
      </c>
      <c r="FA27" s="459">
        <f>$EQ$27*(1+'انتخاب سناریو و وضعيت بازار'!$G$22)^(درآمدها!FA23-$EQ$23)</f>
        <v>1528366.5924256612</v>
      </c>
      <c r="FB27" s="459">
        <f>$EQ$27*(1+'انتخاب سناریو و وضعيت بازار'!$G$22)^(درآمدها!FB23-$EQ$23)</f>
        <v>1543650.2583499174</v>
      </c>
      <c r="FC27" s="459">
        <f>$EQ$27*(1+'انتخاب سناریو و وضعيت بازار'!$G$22)^(درآمدها!FC23-$EQ$23)</f>
        <v>1559086.7609334167</v>
      </c>
      <c r="FD27" s="459">
        <f>$EQ$27*(1+'انتخاب سناریو و وضعيت بازار'!$G$22)^(درآمدها!FD23-$EQ$23)</f>
        <v>1574677.6285427508</v>
      </c>
      <c r="FE27" s="459">
        <f>$EQ$27*(1+'انتخاب سناریو و وضعيت بازار'!$G$22)^(درآمدها!FE23-$EQ$23)</f>
        <v>1590424.4048281785</v>
      </c>
      <c r="FF27" s="459">
        <f>$EQ$27*(1+'انتخاب سناریو و وضعيت بازار'!$G$22)^(درآمدها!FF23-$EQ$23)</f>
        <v>1606328.6488764598</v>
      </c>
      <c r="FG27" s="459">
        <f>$EQ$27*(1+'انتخاب سناریو و وضعيت بازار'!$G$22)^(درآمدها!FG23-$EQ$23)</f>
        <v>1622391.935365225</v>
      </c>
      <c r="FH27" s="459">
        <f>$EQ$27*(1+'انتخاب سناریو و وضعيت بازار'!$G$22)^(درآمدها!FH23-$EQ$23)</f>
        <v>1638615.8547188772</v>
      </c>
      <c r="FI27" s="459">
        <f>$EQ$27*(1+'انتخاب سناریو و وضعيت بازار'!$G$22)^(درآمدها!FI23-$EQ$23)</f>
        <v>1655002.0132660661</v>
      </c>
      <c r="FJ27" s="459">
        <f>$EQ$27*(1+'انتخاب سناریو و وضعيت بازار'!$G$22)^(درآمدها!FJ23-$EQ$23)</f>
        <v>1671552.0333987265</v>
      </c>
      <c r="FK27" s="459">
        <f>$EQ$27*(1+'انتخاب سناریو و وضعيت بازار'!$G$22)^(درآمدها!FK23-$EQ$23)</f>
        <v>1688267.5537327139</v>
      </c>
      <c r="FL27" s="459">
        <f>$EQ$27*(1+'انتخاب سناریو و وضعيت بازار'!$G$22)^(درآمدها!FL23-$EQ$23)</f>
        <v>1705150.2292700408</v>
      </c>
      <c r="FM27" s="459">
        <f>$EQ$27*(1+'انتخاب سناریو و وضعيت بازار'!$G$22)^(درآمدها!FM23-$EQ$23)</f>
        <v>1722201.7315627416</v>
      </c>
      <c r="FN27" s="459">
        <f>$EQ$27*(1+'انتخاب سناریو و وضعيت بازار'!$G$22)^(درآمدها!FN23-$EQ$23)</f>
        <v>1739423.7488783689</v>
      </c>
      <c r="FO27" s="459">
        <f>$EQ$27*(1+'انتخاب سناریو و وضعيت بازار'!$G$22)^(درآمدها!FO23-$EQ$23)</f>
        <v>1756817.9863671528</v>
      </c>
      <c r="FP27" s="459">
        <f>$EQ$27*(1+'انتخاب سناریو و وضعيت بازار'!$G$22)^(درآمدها!FP23-$EQ$23)</f>
        <v>1774386.1662308245</v>
      </c>
      <c r="FQ27" s="459">
        <f>$EQ$27*(1+'انتخاب سناریو و وضعيت بازار'!$G$22)^(درآمدها!FQ23-$EQ$23)</f>
        <v>1792130.0278931328</v>
      </c>
      <c r="FR27" s="459">
        <f>$EQ$27*(1+'انتخاب سناریو و وضعيت بازار'!$G$22)^(درآمدها!FR23-$EQ$23)</f>
        <v>1810051.3281720635</v>
      </c>
      <c r="FS27" s="459">
        <f>$EQ$27*(1+'انتخاب سناریو و وضعيت بازار'!$G$22)^(درآمدها!FS23-$EQ$23)</f>
        <v>1828151.8414537844</v>
      </c>
      <c r="FT27" s="459">
        <f>$EQ$27*(1+'انتخاب سناریو و وضعيت بازار'!$G$22)^(درآمدها!FT23-$EQ$23)</f>
        <v>1846433.3598683223</v>
      </c>
      <c r="FU27" s="459">
        <f>$EQ$27*(1+'انتخاب سناریو و وضعيت بازار'!$G$22)^(درآمدها!FU23-$EQ$23)</f>
        <v>1864897.6934670059</v>
      </c>
      <c r="FV27" s="459">
        <f>$EQ$27*(1+'انتخاب سناریو و وضعيت بازار'!$G$22)^(درآمدها!FV23-$EQ$23)</f>
        <v>1883546.6704016752</v>
      </c>
      <c r="FW27" s="459">
        <f>$EQ$27*(1+'انتخاب سناریو و وضعيت بازار'!$G$22)^(درآمدها!FW23-$EQ$23)</f>
        <v>1902382.1371056924</v>
      </c>
      <c r="FX27" s="459">
        <f>$EQ$27*(1+'انتخاب سناریو و وضعيت بازار'!$G$22)^(درآمدها!FX23-$EQ$23)</f>
        <v>1921405.9584767495</v>
      </c>
      <c r="FY27" s="459">
        <f>$EQ$27*(1+'انتخاب سناریو و وضعيت بازار'!$G$22)^(درآمدها!FY23-$EQ$23)</f>
        <v>1940620.018061517</v>
      </c>
      <c r="FZ27" s="459">
        <f>$EQ$27*(1+'انتخاب سناریو و وضعيت بازار'!$G$22)^(درآمدها!FZ23-$EQ$23)</f>
        <v>1960026.2182421319</v>
      </c>
      <c r="GA27" s="459">
        <f>$EQ$27*(1+'انتخاب سناریو و وضعيت بازار'!$G$22)^(درآمدها!GA23-$EQ$23)</f>
        <v>1979626.4804245534</v>
      </c>
      <c r="GB27" s="459">
        <f>$EQ$27*(1+'انتخاب سناریو و وضعيت بازار'!$G$22)^(درآمدها!GB23-$EQ$23)</f>
        <v>1999422.7452287988</v>
      </c>
      <c r="GC27" s="459">
        <f>$EQ$27*(1+'انتخاب سناریو و وضعيت بازار'!$G$22)^(درآمدها!GC23-$EQ$23)</f>
        <v>2019416.972681087</v>
      </c>
      <c r="GD27" s="459">
        <f>$EQ$27*(1+'انتخاب سناریو و وضعيت بازار'!$G$22)^(درآمدها!GD23-$EQ$23)</f>
        <v>2039611.1424078974</v>
      </c>
      <c r="GE27" s="459">
        <f>$EQ$27*(1+'انتخاب سناریو و وضعيت بازار'!$G$22)^(درآمدها!GE23-$EQ$23)</f>
        <v>2060007.2538319768</v>
      </c>
      <c r="GF27" s="459">
        <f>$EQ$27*(1+'انتخاب سناریو و وضعيت بازار'!$G$22)^(درآمدها!GF23-$EQ$23)</f>
        <v>2080607.3263702968</v>
      </c>
      <c r="GG27" s="459">
        <f>$EQ$27*(1+'انتخاب سناریو و وضعيت بازار'!$G$22)^(درآمدها!GG23-$EQ$23)</f>
        <v>2101413.3996339999</v>
      </c>
      <c r="GH27" s="459">
        <f>$EQ$27*(1+'انتخاب سناریو و وضعيت بازار'!$G$22)^(درآمدها!GH23-$EQ$23)</f>
        <v>2122427.5336303394</v>
      </c>
      <c r="GI27" s="459">
        <f>$EQ$27*(1+'انتخاب سناریو و وضعيت بازار'!$G$22)^(درآمدها!GI23-$EQ$23)</f>
        <v>2143651.8089666432</v>
      </c>
      <c r="GJ27" s="459">
        <f>$EQ$27*(1+'انتخاب سناریو و وضعيت بازار'!$G$22)^(درآمدها!GJ23-$EQ$23)</f>
        <v>2165088.3270563097</v>
      </c>
      <c r="GK27" s="459">
        <f>$EQ$27*(1+'انتخاب سناریو و وضعيت بازار'!$G$22)^(درآمدها!GK23-$EQ$23)</f>
        <v>2186739.2103268728</v>
      </c>
      <c r="GL27" s="459">
        <f>$EQ$27*(1+'انتخاب سناریو و وضعيت بازار'!$G$22)^(درآمدها!GL23-$EQ$23)</f>
        <v>2208606.6024301411</v>
      </c>
      <c r="GM27" s="472">
        <f>$EQ$27*(1+'انتخاب سناریو و وضعيت بازار'!$G$22)^(درآمدها!GM23-$EQ$23)</f>
        <v>2230692.6684544431</v>
      </c>
    </row>
    <row r="28" spans="2:195" ht="18.899999999999999" hidden="1" thickBot="1" x14ac:dyDescent="0.8">
      <c r="B28" s="509" t="s">
        <v>5885</v>
      </c>
      <c r="C28" s="471" t="s">
        <v>11</v>
      </c>
      <c r="D28" s="716"/>
      <c r="E28" s="716"/>
      <c r="F28" s="716"/>
      <c r="G28" s="716"/>
      <c r="H28" s="716"/>
      <c r="I28" s="716"/>
      <c r="J28" s="716"/>
      <c r="K28" s="716"/>
      <c r="L28" s="716"/>
      <c r="M28" s="716"/>
      <c r="N28" s="716"/>
      <c r="O28" s="716"/>
      <c r="P28" s="716"/>
      <c r="Q28" s="716"/>
      <c r="R28" s="716"/>
      <c r="S28" s="716"/>
      <c r="T28" s="716"/>
      <c r="U28" s="716"/>
      <c r="V28" s="716"/>
      <c r="W28" s="716"/>
      <c r="X28" s="716"/>
      <c r="Y28" s="716"/>
      <c r="Z28" s="716"/>
      <c r="AA28" s="716"/>
      <c r="AB28" s="510">
        <f t="shared" ref="AB28:BG28" si="192">AB26*AB27</f>
        <v>214051.61706261363</v>
      </c>
      <c r="AC28" s="510">
        <f t="shared" si="192"/>
        <v>215100.88969527348</v>
      </c>
      <c r="AD28" s="510">
        <f t="shared" si="192"/>
        <v>216155.30582123075</v>
      </c>
      <c r="AE28" s="510">
        <f t="shared" si="192"/>
        <v>217214.89065368767</v>
      </c>
      <c r="AF28" s="510">
        <f t="shared" si="192"/>
        <v>218279.6695294411</v>
      </c>
      <c r="AG28" s="510">
        <f t="shared" si="192"/>
        <v>219349.6679094873</v>
      </c>
      <c r="AH28" s="510">
        <f t="shared" si="192"/>
        <v>220424.91137963196</v>
      </c>
      <c r="AI28" s="510">
        <f t="shared" si="192"/>
        <v>221505.42565110064</v>
      </c>
      <c r="AJ28" s="510">
        <f t="shared" si="192"/>
        <v>222591.23656115506</v>
      </c>
      <c r="AK28" s="510">
        <f t="shared" si="192"/>
        <v>223682.3700737097</v>
      </c>
      <c r="AL28" s="510">
        <f t="shared" si="192"/>
        <v>224778.85227995337</v>
      </c>
      <c r="AM28" s="510">
        <f t="shared" si="192"/>
        <v>225880.70939897283</v>
      </c>
      <c r="AN28" s="510">
        <f t="shared" si="192"/>
        <v>231620.37528406069</v>
      </c>
      <c r="AO28" s="510">
        <f t="shared" si="192"/>
        <v>232755.76928055109</v>
      </c>
      <c r="AP28" s="510">
        <f t="shared" si="192"/>
        <v>233896.72893388729</v>
      </c>
      <c r="AQ28" s="510">
        <f t="shared" si="192"/>
        <v>235043.28152670033</v>
      </c>
      <c r="AR28" s="510">
        <f t="shared" si="192"/>
        <v>236195.45447536066</v>
      </c>
      <c r="AS28" s="510">
        <f t="shared" si="192"/>
        <v>237353.27533063199</v>
      </c>
      <c r="AT28" s="510">
        <f t="shared" si="192"/>
        <v>238516.77177833123</v>
      </c>
      <c r="AU28" s="510">
        <f t="shared" si="192"/>
        <v>239685.97163998967</v>
      </c>
      <c r="AV28" s="510">
        <f t="shared" si="192"/>
        <v>240860.90287351899</v>
      </c>
      <c r="AW28" s="510">
        <f t="shared" si="192"/>
        <v>242041.59357387933</v>
      </c>
      <c r="AX28" s="510">
        <f t="shared" si="192"/>
        <v>243228.07197375139</v>
      </c>
      <c r="AY28" s="510">
        <f t="shared" si="192"/>
        <v>244420.36644421093</v>
      </c>
      <c r="AZ28" s="510">
        <f t="shared" si="192"/>
        <v>121584.08179081982</v>
      </c>
      <c r="BA28" s="510">
        <f t="shared" si="192"/>
        <v>122183.01815432141</v>
      </c>
      <c r="BB28" s="510">
        <f t="shared" si="192"/>
        <v>122784.90494325897</v>
      </c>
      <c r="BC28" s="510">
        <f t="shared" si="192"/>
        <v>123389.75669174796</v>
      </c>
      <c r="BD28" s="510">
        <f t="shared" si="192"/>
        <v>123997.58800550041</v>
      </c>
      <c r="BE28" s="510">
        <f t="shared" si="192"/>
        <v>124608.41356217777</v>
      </c>
      <c r="BF28" s="510">
        <f t="shared" si="192"/>
        <v>125222.24811174515</v>
      </c>
      <c r="BG28" s="510">
        <f t="shared" si="192"/>
        <v>125839.10647682764</v>
      </c>
      <c r="BH28" s="510">
        <f t="shared" ref="BH28:CM28" si="193">BH26*BH27</f>
        <v>126459.00355306819</v>
      </c>
      <c r="BI28" s="510">
        <f t="shared" si="193"/>
        <v>127081.95430948728</v>
      </c>
      <c r="BJ28" s="510">
        <f t="shared" si="193"/>
        <v>127707.97378884435</v>
      </c>
      <c r="BK28" s="510">
        <f t="shared" si="193"/>
        <v>128337.07710800126</v>
      </c>
      <c r="BL28" s="510">
        <f t="shared" si="193"/>
        <v>127666.55946375885</v>
      </c>
      <c r="BM28" s="510">
        <f t="shared" si="193"/>
        <v>128295.4587714621</v>
      </c>
      <c r="BN28" s="510">
        <f t="shared" si="193"/>
        <v>128927.45610531168</v>
      </c>
      <c r="BO28" s="510">
        <f t="shared" si="193"/>
        <v>129562.56672652013</v>
      </c>
      <c r="BP28" s="510">
        <f t="shared" si="193"/>
        <v>130200.80597147837</v>
      </c>
      <c r="BQ28" s="510">
        <f t="shared" si="193"/>
        <v>130842.18925212606</v>
      </c>
      <c r="BR28" s="510">
        <f t="shared" si="193"/>
        <v>131486.73205632376</v>
      </c>
      <c r="BS28" s="510">
        <f t="shared" si="193"/>
        <v>132134.44994822686</v>
      </c>
      <c r="BT28" s="510">
        <f t="shared" si="193"/>
        <v>132785.35856866147</v>
      </c>
      <c r="BU28" s="510">
        <f t="shared" si="193"/>
        <v>133439.47363550222</v>
      </c>
      <c r="BV28" s="510">
        <f t="shared" si="193"/>
        <v>134096.81094405151</v>
      </c>
      <c r="BW28" s="510">
        <f t="shared" si="193"/>
        <v>134757.38636742122</v>
      </c>
      <c r="BX28" s="510">
        <f t="shared" si="193"/>
        <v>134039.36671551882</v>
      </c>
      <c r="BY28" s="510">
        <f t="shared" si="193"/>
        <v>134699.65916239333</v>
      </c>
      <c r="BZ28" s="510">
        <f t="shared" si="193"/>
        <v>135363.20428141984</v>
      </c>
      <c r="CA28" s="510">
        <f t="shared" si="193"/>
        <v>136030.0180956141</v>
      </c>
      <c r="CB28" s="510">
        <f t="shared" si="193"/>
        <v>136700.11670692253</v>
      </c>
      <c r="CC28" s="510">
        <f t="shared" si="193"/>
        <v>137373.51629661187</v>
      </c>
      <c r="CD28" s="510">
        <f t="shared" si="193"/>
        <v>138050.23312565917</v>
      </c>
      <c r="CE28" s="510">
        <f t="shared" si="193"/>
        <v>138730.28353514522</v>
      </c>
      <c r="CF28" s="510">
        <f t="shared" si="193"/>
        <v>139413.68394664847</v>
      </c>
      <c r="CG28" s="510">
        <f t="shared" si="193"/>
        <v>140100.4508626418</v>
      </c>
      <c r="CH28" s="510">
        <f t="shared" si="193"/>
        <v>140790.60086689127</v>
      </c>
      <c r="CI28" s="510">
        <f t="shared" si="193"/>
        <v>141484.15062485629</v>
      </c>
      <c r="CJ28" s="510">
        <f t="shared" si="193"/>
        <v>140715.33217394675</v>
      </c>
      <c r="CK28" s="510">
        <f t="shared" si="193"/>
        <v>141408.51115017317</v>
      </c>
      <c r="CL28" s="510">
        <f t="shared" si="193"/>
        <v>142105.10480115921</v>
      </c>
      <c r="CM28" s="510">
        <f t="shared" si="193"/>
        <v>142805.129947963</v>
      </c>
      <c r="CN28" s="510">
        <f t="shared" ref="CN28:DS28" si="194">CN26*CN27</f>
        <v>143508.6034945047</v>
      </c>
      <c r="CO28" s="510">
        <f t="shared" si="194"/>
        <v>144215.54242797516</v>
      </c>
      <c r="CP28" s="510">
        <f t="shared" si="194"/>
        <v>144925.96381924595</v>
      </c>
      <c r="CQ28" s="510">
        <f t="shared" si="194"/>
        <v>145639.88482328175</v>
      </c>
      <c r="CR28" s="510">
        <f t="shared" si="194"/>
        <v>146357.32267955402</v>
      </c>
      <c r="CS28" s="510">
        <f t="shared" si="194"/>
        <v>147078.2947124583</v>
      </c>
      <c r="CT28" s="510">
        <f t="shared" si="194"/>
        <v>147802.81833173148</v>
      </c>
      <c r="CU28" s="510">
        <f t="shared" si="194"/>
        <v>148530.91103287306</v>
      </c>
      <c r="CV28" s="510">
        <f t="shared" si="194"/>
        <v>74002.217139678323</v>
      </c>
      <c r="CW28" s="510">
        <f t="shared" si="194"/>
        <v>74516.121425370511</v>
      </c>
      <c r="CX28" s="510">
        <f t="shared" si="194"/>
        <v>75033.594490824456</v>
      </c>
      <c r="CY28" s="510">
        <f t="shared" si="194"/>
        <v>75554.661119232944</v>
      </c>
      <c r="CZ28" s="510">
        <f t="shared" si="194"/>
        <v>76079.346265894274</v>
      </c>
      <c r="DA28" s="510">
        <f t="shared" si="194"/>
        <v>76607.675059407411</v>
      </c>
      <c r="DB28" s="510">
        <f t="shared" si="194"/>
        <v>77139.672802875488</v>
      </c>
      <c r="DC28" s="510">
        <f t="shared" si="194"/>
        <v>77675.364975117685</v>
      </c>
      <c r="DD28" s="510">
        <f t="shared" si="194"/>
        <v>78214.777231889311</v>
      </c>
      <c r="DE28" s="510">
        <f t="shared" si="194"/>
        <v>78757.935407110752</v>
      </c>
      <c r="DF28" s="510">
        <f t="shared" si="194"/>
        <v>79304.86551410456</v>
      </c>
      <c r="DG28" s="510">
        <f t="shared" si="194"/>
        <v>79855.593746841405</v>
      </c>
      <c r="DH28" s="510">
        <f t="shared" si="194"/>
        <v>79563.723886655556</v>
      </c>
      <c r="DI28" s="510">
        <f t="shared" si="194"/>
        <v>80116.24974697952</v>
      </c>
      <c r="DJ28" s="510">
        <f t="shared" si="194"/>
        <v>80672.612592444653</v>
      </c>
      <c r="DK28" s="510">
        <f t="shared" si="194"/>
        <v>81232.83906878109</v>
      </c>
      <c r="DL28" s="510">
        <f t="shared" si="194"/>
        <v>81796.956006758686</v>
      </c>
      <c r="DM28" s="510">
        <f t="shared" si="194"/>
        <v>82364.990423472278</v>
      </c>
      <c r="DN28" s="510">
        <f t="shared" si="194"/>
        <v>82936.969523635256</v>
      </c>
      <c r="DO28" s="510">
        <f t="shared" si="194"/>
        <v>83512.920700882736</v>
      </c>
      <c r="DP28" s="510">
        <f t="shared" si="194"/>
        <v>84092.871539083266</v>
      </c>
      <c r="DQ28" s="510">
        <f t="shared" si="194"/>
        <v>84676.849813660228</v>
      </c>
      <c r="DR28" s="510">
        <f t="shared" si="194"/>
        <v>85264.883492921741</v>
      </c>
      <c r="DS28" s="510">
        <f t="shared" si="194"/>
        <v>85857.000739400333</v>
      </c>
      <c r="DT28" s="510">
        <f t="shared" ref="DT28:EY28" si="195">DT26*DT27</f>
        <v>85533.514699380452</v>
      </c>
      <c r="DU28" s="510">
        <f t="shared" si="195"/>
        <v>86127.497440348336</v>
      </c>
      <c r="DV28" s="510">
        <f t="shared" si="195"/>
        <v>86725.605061461873</v>
      </c>
      <c r="DW28" s="510">
        <f t="shared" si="195"/>
        <v>87327.866207721992</v>
      </c>
      <c r="DX28" s="510">
        <f t="shared" si="195"/>
        <v>87934.309723053404</v>
      </c>
      <c r="DY28" s="510">
        <f t="shared" si="195"/>
        <v>88544.964651685703</v>
      </c>
      <c r="DZ28" s="510">
        <f t="shared" si="195"/>
        <v>89159.860239544578</v>
      </c>
      <c r="EA28" s="510">
        <f t="shared" si="195"/>
        <v>89779.025935652549</v>
      </c>
      <c r="EB28" s="510">
        <f t="shared" si="195"/>
        <v>90402.491393538978</v>
      </c>
      <c r="EC28" s="510">
        <f t="shared" si="195"/>
        <v>91030.286472660766</v>
      </c>
      <c r="ED28" s="510">
        <f t="shared" si="195"/>
        <v>91662.441239832013</v>
      </c>
      <c r="EE28" s="510">
        <f t="shared" si="195"/>
        <v>92298.985970664173</v>
      </c>
      <c r="EF28" s="510">
        <f t="shared" si="195"/>
        <v>91940.596837564197</v>
      </c>
      <c r="EG28" s="510">
        <f t="shared" si="195"/>
        <v>92579.073204491724</v>
      </c>
      <c r="EH28" s="510">
        <f t="shared" si="195"/>
        <v>93221.983435078437</v>
      </c>
      <c r="EI28" s="510">
        <f t="shared" si="195"/>
        <v>93869.358320044252</v>
      </c>
      <c r="EJ28" s="510">
        <f t="shared" si="195"/>
        <v>94521.228863933415</v>
      </c>
      <c r="EK28" s="510">
        <f t="shared" si="195"/>
        <v>95177.626286599596</v>
      </c>
      <c r="EL28" s="510">
        <f t="shared" si="195"/>
        <v>95838.582024700969</v>
      </c>
      <c r="EM28" s="510">
        <f t="shared" si="195"/>
        <v>96504.127733205823</v>
      </c>
      <c r="EN28" s="510">
        <f t="shared" si="195"/>
        <v>97174.295286908658</v>
      </c>
      <c r="EO28" s="510">
        <f t="shared" si="195"/>
        <v>97849.116781956618</v>
      </c>
      <c r="EP28" s="510">
        <f t="shared" si="195"/>
        <v>98528.624537386859</v>
      </c>
      <c r="EQ28" s="510">
        <f t="shared" si="195"/>
        <v>99212.851096674203</v>
      </c>
      <c r="ER28" s="510">
        <f t="shared" si="195"/>
        <v>49164.580876333501</v>
      </c>
      <c r="ES28" s="510">
        <f t="shared" si="195"/>
        <v>49262.12964791352</v>
      </c>
      <c r="ET28" s="510">
        <f t="shared" si="195"/>
        <v>49359.871968643492</v>
      </c>
      <c r="EU28" s="510">
        <f t="shared" si="195"/>
        <v>49457.808222549538</v>
      </c>
      <c r="EV28" s="510">
        <f t="shared" si="195"/>
        <v>49555.938794419679</v>
      </c>
      <c r="EW28" s="510">
        <f t="shared" si="195"/>
        <v>49654.264069805438</v>
      </c>
      <c r="EX28" s="510">
        <f t="shared" si="195"/>
        <v>49752.784435023284</v>
      </c>
      <c r="EY28" s="510">
        <f t="shared" si="195"/>
        <v>49851.500277156272</v>
      </c>
      <c r="EZ28" s="510">
        <f t="shared" ref="EZ28:GE28" si="196">EZ26*EZ27</f>
        <v>49950.41198405539</v>
      </c>
      <c r="FA28" s="510">
        <f t="shared" si="196"/>
        <v>50049.519944341235</v>
      </c>
      <c r="FB28" s="510">
        <f t="shared" si="196"/>
        <v>50148.824547405362</v>
      </c>
      <c r="FC28" s="510">
        <f t="shared" si="196"/>
        <v>50248.326183412122</v>
      </c>
      <c r="FD28" s="510">
        <f t="shared" si="196"/>
        <v>49794.750240626236</v>
      </c>
      <c r="FE28" s="510">
        <f t="shared" si="196"/>
        <v>49893.549348246517</v>
      </c>
      <c r="FF28" s="510">
        <f t="shared" si="196"/>
        <v>49992.544485842242</v>
      </c>
      <c r="FG28" s="510">
        <f t="shared" si="196"/>
        <v>50091.736042361772</v>
      </c>
      <c r="FH28" s="510">
        <f t="shared" si="196"/>
        <v>50191.124407525189</v>
      </c>
      <c r="FI28" s="510">
        <f t="shared" si="196"/>
        <v>50290.70997182584</v>
      </c>
      <c r="FJ28" s="510">
        <f t="shared" si="196"/>
        <v>50390.49312653183</v>
      </c>
      <c r="FK28" s="510">
        <f t="shared" si="196"/>
        <v>50490.474263687669</v>
      </c>
      <c r="FL28" s="510">
        <f t="shared" si="196"/>
        <v>50590.653776115585</v>
      </c>
      <c r="FM28" s="510">
        <f t="shared" si="196"/>
        <v>50691.032057417433</v>
      </c>
      <c r="FN28" s="510">
        <f t="shared" si="196"/>
        <v>50791.609501975778</v>
      </c>
      <c r="FO28" s="510">
        <f t="shared" si="196"/>
        <v>50892.386504955888</v>
      </c>
      <c r="FP28" s="510">
        <f t="shared" si="196"/>
        <v>50426.770534948031</v>
      </c>
      <c r="FQ28" s="510">
        <f t="shared" si="196"/>
        <v>50526.823651088802</v>
      </c>
      <c r="FR28" s="510">
        <f t="shared" si="196"/>
        <v>50627.075285317136</v>
      </c>
      <c r="FS28" s="510">
        <f t="shared" si="196"/>
        <v>50727.525831518156</v>
      </c>
      <c r="FT28" s="510">
        <f t="shared" si="196"/>
        <v>50828.175684358474</v>
      </c>
      <c r="FU28" s="510">
        <f t="shared" si="196"/>
        <v>50929.025239287774</v>
      </c>
      <c r="FV28" s="510">
        <f t="shared" si="196"/>
        <v>51030.074892540288</v>
      </c>
      <c r="FW28" s="510">
        <f t="shared" si="196"/>
        <v>51131.32504113661</v>
      </c>
      <c r="FX28" s="510">
        <f t="shared" si="196"/>
        <v>51232.776082884913</v>
      </c>
      <c r="FY28" s="510">
        <f t="shared" si="196"/>
        <v>51334.428416382703</v>
      </c>
      <c r="FZ28" s="510">
        <f t="shared" si="196"/>
        <v>51436.28244101836</v>
      </c>
      <c r="GA28" s="510">
        <f t="shared" si="196"/>
        <v>51538.338556972769</v>
      </c>
      <c r="GB28" s="510">
        <f t="shared" si="196"/>
        <v>51060.365736398016</v>
      </c>
      <c r="GC28" s="510">
        <f t="shared" si="196"/>
        <v>51161.675985874994</v>
      </c>
      <c r="GD28" s="510">
        <f t="shared" si="196"/>
        <v>51263.187247751724</v>
      </c>
      <c r="GE28" s="510">
        <f t="shared" si="196"/>
        <v>51364.899920862357</v>
      </c>
      <c r="GF28" s="510">
        <f t="shared" ref="GF28:GM28" si="197">GF26*GF27</f>
        <v>51466.814404832323</v>
      </c>
      <c r="GG28" s="510">
        <f t="shared" si="197"/>
        <v>51568.931100080015</v>
      </c>
      <c r="GH28" s="510">
        <f t="shared" si="197"/>
        <v>51671.250407818246</v>
      </c>
      <c r="GI28" s="510">
        <f t="shared" si="197"/>
        <v>51773.772730055985</v>
      </c>
      <c r="GJ28" s="510">
        <f t="shared" si="197"/>
        <v>51876.498469599741</v>
      </c>
      <c r="GK28" s="510">
        <f t="shared" si="197"/>
        <v>51979.428030055307</v>
      </c>
      <c r="GL28" s="510">
        <f t="shared" si="197"/>
        <v>52082.561815829227</v>
      </c>
      <c r="GM28" s="511">
        <f t="shared" si="197"/>
        <v>52185.900232130458</v>
      </c>
    </row>
    <row r="29" spans="2:195" hidden="1" x14ac:dyDescent="0.75">
      <c r="F29" s="427"/>
    </row>
    <row r="30" spans="2:195" hidden="1" x14ac:dyDescent="0.75"/>
    <row r="31" spans="2:195" ht="23.6" hidden="1" thickBot="1" x14ac:dyDescent="0.8">
      <c r="B31" s="709" t="s">
        <v>5804</v>
      </c>
      <c r="C31" s="419" t="s">
        <v>592</v>
      </c>
      <c r="D31" s="451"/>
      <c r="E31" s="712" t="str">
        <f>'داده‌های ورودی'!$B$7</f>
        <v>دوره بهره‌برداري اول</v>
      </c>
      <c r="F31" s="713"/>
      <c r="G31" s="713"/>
      <c r="H31" s="713"/>
      <c r="I31" s="713"/>
      <c r="J31" s="713"/>
      <c r="K31" s="713"/>
      <c r="L31" s="713"/>
      <c r="M31" s="713"/>
      <c r="N31" s="713"/>
      <c r="O31" s="713"/>
      <c r="P31" s="713"/>
      <c r="Q31" s="713"/>
      <c r="R31" s="713"/>
      <c r="S31" s="713"/>
      <c r="T31" s="713"/>
      <c r="U31" s="713"/>
      <c r="V31" s="713"/>
      <c r="W31" s="713"/>
      <c r="X31" s="713"/>
      <c r="Y31" s="713"/>
      <c r="Z31" s="713"/>
      <c r="AA31" s="714"/>
      <c r="AB31" s="717" t="str">
        <f>'داده‌های ورودی'!$B$8</f>
        <v>دوره بهره‌برداري دوم</v>
      </c>
      <c r="AC31" s="718"/>
      <c r="AD31" s="718"/>
      <c r="AE31" s="718"/>
      <c r="AF31" s="718"/>
      <c r="AG31" s="718"/>
      <c r="AH31" s="718"/>
      <c r="AI31" s="718"/>
      <c r="AJ31" s="718"/>
      <c r="AK31" s="718"/>
      <c r="AL31" s="718"/>
      <c r="AM31" s="718"/>
      <c r="AN31" s="718"/>
      <c r="AO31" s="718"/>
      <c r="AP31" s="718"/>
      <c r="AQ31" s="718"/>
      <c r="AR31" s="718"/>
      <c r="AS31" s="718"/>
      <c r="AT31" s="718"/>
      <c r="AU31" s="718"/>
      <c r="AV31" s="718"/>
      <c r="AW31" s="718"/>
      <c r="AX31" s="718"/>
      <c r="AY31" s="718"/>
      <c r="AZ31" s="718"/>
      <c r="BA31" s="718"/>
      <c r="BB31" s="718"/>
      <c r="BC31" s="718"/>
      <c r="BD31" s="718"/>
      <c r="BE31" s="718"/>
      <c r="BF31" s="718"/>
      <c r="BG31" s="718"/>
      <c r="BH31" s="718"/>
      <c r="BI31" s="718"/>
      <c r="BJ31" s="718"/>
      <c r="BK31" s="718"/>
      <c r="BL31" s="718"/>
      <c r="BM31" s="718"/>
      <c r="BN31" s="718"/>
      <c r="BO31" s="718"/>
      <c r="BP31" s="718"/>
      <c r="BQ31" s="718"/>
      <c r="BR31" s="718"/>
      <c r="BS31" s="718"/>
      <c r="BT31" s="718"/>
      <c r="BU31" s="718"/>
      <c r="BV31" s="718"/>
      <c r="BW31" s="718"/>
      <c r="BX31" s="718"/>
      <c r="BY31" s="718"/>
      <c r="BZ31" s="718"/>
      <c r="CA31" s="718"/>
      <c r="CB31" s="718"/>
      <c r="CC31" s="718"/>
      <c r="CD31" s="718"/>
      <c r="CE31" s="718"/>
      <c r="CF31" s="718"/>
      <c r="CG31" s="718"/>
      <c r="CH31" s="718"/>
      <c r="CI31" s="718"/>
      <c r="CJ31" s="718"/>
      <c r="CK31" s="718"/>
      <c r="CL31" s="718"/>
      <c r="CM31" s="718"/>
      <c r="CN31" s="718"/>
      <c r="CO31" s="718"/>
      <c r="CP31" s="718"/>
      <c r="CQ31" s="718"/>
      <c r="CR31" s="718"/>
      <c r="CS31" s="718"/>
      <c r="CT31" s="718"/>
      <c r="CU31" s="718"/>
      <c r="CV31" s="718"/>
      <c r="CW31" s="718"/>
      <c r="CX31" s="718"/>
      <c r="CY31" s="718"/>
      <c r="CZ31" s="718"/>
      <c r="DA31" s="718"/>
      <c r="DB31" s="718"/>
      <c r="DC31" s="718"/>
      <c r="DD31" s="718"/>
      <c r="DE31" s="718"/>
      <c r="DF31" s="718"/>
      <c r="DG31" s="718"/>
      <c r="DH31" s="718"/>
      <c r="DI31" s="718"/>
      <c r="DJ31" s="718"/>
      <c r="DK31" s="718"/>
      <c r="DL31" s="718"/>
      <c r="DM31" s="718"/>
      <c r="DN31" s="718"/>
      <c r="DO31" s="718"/>
      <c r="DP31" s="718"/>
      <c r="DQ31" s="718"/>
      <c r="DR31" s="718"/>
      <c r="DS31" s="718"/>
      <c r="DT31" s="718"/>
      <c r="DU31" s="718"/>
      <c r="DV31" s="718"/>
      <c r="DW31" s="718"/>
      <c r="DX31" s="718"/>
      <c r="DY31" s="718"/>
      <c r="DZ31" s="718"/>
      <c r="EA31" s="718"/>
      <c r="EB31" s="718"/>
      <c r="EC31" s="718"/>
      <c r="ED31" s="718"/>
      <c r="EE31" s="718"/>
      <c r="EF31" s="718"/>
      <c r="EG31" s="718"/>
      <c r="EH31" s="718"/>
      <c r="EI31" s="718"/>
      <c r="EJ31" s="718"/>
      <c r="EK31" s="718"/>
      <c r="EL31" s="718"/>
      <c r="EM31" s="718"/>
      <c r="EN31" s="718"/>
      <c r="EO31" s="718"/>
      <c r="EP31" s="718"/>
      <c r="EQ31" s="718"/>
      <c r="ER31" s="718"/>
      <c r="ES31" s="718"/>
      <c r="ET31" s="718"/>
      <c r="EU31" s="718"/>
      <c r="EV31" s="718"/>
      <c r="EW31" s="718"/>
      <c r="EX31" s="718"/>
      <c r="EY31" s="718"/>
      <c r="EZ31" s="718"/>
      <c r="FA31" s="718"/>
      <c r="FB31" s="718"/>
      <c r="FC31" s="718"/>
      <c r="FD31" s="718"/>
      <c r="FE31" s="718"/>
      <c r="FF31" s="718"/>
      <c r="FG31" s="718"/>
      <c r="FH31" s="718"/>
      <c r="FI31" s="718"/>
      <c r="FJ31" s="718"/>
      <c r="FK31" s="718"/>
      <c r="FL31" s="718"/>
      <c r="FM31" s="718"/>
      <c r="FN31" s="718"/>
      <c r="FO31" s="718"/>
      <c r="FP31" s="719"/>
    </row>
    <row r="32" spans="2:195" ht="23.6" hidden="1" thickBot="1" x14ac:dyDescent="0.8">
      <c r="B32" s="710"/>
      <c r="C32" s="420" t="s">
        <v>593</v>
      </c>
      <c r="D32" s="452"/>
      <c r="E32" s="720">
        <f>'داده‌های ورودی'!B33</f>
        <v>0</v>
      </c>
      <c r="F32" s="721"/>
      <c r="G32" s="721"/>
      <c r="H32" s="721"/>
      <c r="I32" s="721"/>
      <c r="J32" s="721"/>
      <c r="K32" s="721"/>
      <c r="L32" s="721"/>
      <c r="M32" s="721"/>
      <c r="N32" s="721"/>
      <c r="O32" s="721"/>
      <c r="P32" s="721"/>
      <c r="Q32" s="721"/>
      <c r="R32" s="721"/>
      <c r="S32" s="721"/>
      <c r="T32" s="721"/>
      <c r="U32" s="721"/>
      <c r="V32" s="721"/>
      <c r="W32" s="721"/>
      <c r="X32" s="721"/>
      <c r="Y32" s="721"/>
      <c r="Z32" s="721"/>
      <c r="AA32" s="722"/>
      <c r="AB32" s="723" t="str">
        <f>'داده‌های ورودی'!$B$14</f>
        <v>دوره دوم استخراج</v>
      </c>
      <c r="AC32" s="724"/>
      <c r="AD32" s="724"/>
      <c r="AE32" s="724"/>
      <c r="AF32" s="724"/>
      <c r="AG32" s="724"/>
      <c r="AH32" s="724"/>
      <c r="AI32" s="724"/>
      <c r="AJ32" s="724"/>
      <c r="AK32" s="724"/>
      <c r="AL32" s="724"/>
      <c r="AM32" s="724"/>
      <c r="AN32" s="724"/>
      <c r="AO32" s="724"/>
      <c r="AP32" s="724"/>
      <c r="AQ32" s="724"/>
      <c r="AR32" s="724"/>
      <c r="AS32" s="724"/>
      <c r="AT32" s="724"/>
      <c r="AU32" s="724"/>
      <c r="AV32" s="724"/>
      <c r="AW32" s="724"/>
      <c r="AX32" s="724"/>
      <c r="AY32" s="724"/>
      <c r="AZ32" s="724"/>
      <c r="BA32" s="724"/>
      <c r="BB32" s="724"/>
      <c r="BC32" s="724"/>
      <c r="BD32" s="724"/>
      <c r="BE32" s="724"/>
      <c r="BF32" s="724"/>
      <c r="BG32" s="724"/>
      <c r="BH32" s="724"/>
      <c r="BI32" s="724"/>
      <c r="BJ32" s="724"/>
      <c r="BK32" s="724"/>
      <c r="BL32" s="724"/>
      <c r="BM32" s="724"/>
      <c r="BN32" s="724"/>
      <c r="BO32" s="724"/>
      <c r="BP32" s="724"/>
      <c r="BQ32" s="724"/>
      <c r="BR32" s="724"/>
      <c r="BS32" s="724"/>
      <c r="BT32" s="724"/>
      <c r="BU32" s="724"/>
      <c r="BV32" s="724"/>
      <c r="BW32" s="724"/>
      <c r="BX32" s="724"/>
      <c r="BY32" s="725" t="str">
        <f>'داده‌های ورودی'!$B$15</f>
        <v>دوره سوم استخراج</v>
      </c>
      <c r="BZ32" s="725"/>
      <c r="CA32" s="725"/>
      <c r="CB32" s="725"/>
      <c r="CC32" s="725"/>
      <c r="CD32" s="725"/>
      <c r="CE32" s="725"/>
      <c r="CF32" s="725"/>
      <c r="CG32" s="725"/>
      <c r="CH32" s="725"/>
      <c r="CI32" s="725"/>
      <c r="CJ32" s="725"/>
      <c r="CK32" s="725"/>
      <c r="CL32" s="725"/>
      <c r="CM32" s="725"/>
      <c r="CN32" s="725"/>
      <c r="CO32" s="725"/>
      <c r="CP32" s="725"/>
      <c r="CQ32" s="725"/>
      <c r="CR32" s="725"/>
      <c r="CS32" s="725"/>
      <c r="CT32" s="725"/>
      <c r="CU32" s="725"/>
      <c r="CV32" s="725"/>
      <c r="CW32" s="725"/>
      <c r="CX32" s="725"/>
      <c r="CY32" s="725"/>
      <c r="CZ32" s="725"/>
      <c r="DA32" s="725"/>
      <c r="DB32" s="725"/>
      <c r="DC32" s="725"/>
      <c r="DD32" s="725"/>
      <c r="DE32" s="725"/>
      <c r="DF32" s="725"/>
      <c r="DG32" s="725"/>
      <c r="DH32" s="725"/>
      <c r="DI32" s="725"/>
      <c r="DJ32" s="725"/>
      <c r="DK32" s="725"/>
      <c r="DL32" s="725"/>
      <c r="DM32" s="725"/>
      <c r="DN32" s="725"/>
      <c r="DO32" s="725"/>
      <c r="DP32" s="725"/>
      <c r="DQ32" s="725"/>
      <c r="DR32" s="725"/>
      <c r="DS32" s="725"/>
      <c r="DT32" s="725"/>
      <c r="DU32" s="726" t="str">
        <f>'داده‌های ورودی'!$B$16</f>
        <v>دوره چهام استخراج</v>
      </c>
      <c r="DV32" s="727"/>
      <c r="DW32" s="727"/>
      <c r="DX32" s="727"/>
      <c r="DY32" s="727"/>
      <c r="DZ32" s="727"/>
      <c r="EA32" s="727"/>
      <c r="EB32" s="727"/>
      <c r="EC32" s="727"/>
      <c r="ED32" s="727"/>
      <c r="EE32" s="727"/>
      <c r="EF32" s="727"/>
      <c r="EG32" s="727"/>
      <c r="EH32" s="727"/>
      <c r="EI32" s="727"/>
      <c r="EJ32" s="727"/>
      <c r="EK32" s="727"/>
      <c r="EL32" s="727"/>
      <c r="EM32" s="727"/>
      <c r="EN32" s="727"/>
      <c r="EO32" s="727"/>
      <c r="EP32" s="727"/>
      <c r="EQ32" s="727"/>
      <c r="ER32" s="727"/>
      <c r="ES32" s="727"/>
      <c r="ET32" s="727"/>
      <c r="EU32" s="727"/>
      <c r="EV32" s="727"/>
      <c r="EW32" s="727"/>
      <c r="EX32" s="727"/>
      <c r="EY32" s="727"/>
      <c r="EZ32" s="727"/>
      <c r="FA32" s="727"/>
      <c r="FB32" s="727"/>
      <c r="FC32" s="727"/>
      <c r="FD32" s="727"/>
      <c r="FE32" s="727"/>
      <c r="FF32" s="727"/>
      <c r="FG32" s="727"/>
      <c r="FH32" s="727"/>
      <c r="FI32" s="727"/>
      <c r="FJ32" s="727"/>
      <c r="FK32" s="727"/>
      <c r="FL32" s="727"/>
      <c r="FM32" s="727"/>
      <c r="FN32" s="727"/>
      <c r="FO32" s="727"/>
      <c r="FP32" s="728"/>
    </row>
    <row r="33" spans="2:172" ht="23.15" hidden="1" x14ac:dyDescent="0.75">
      <c r="B33" s="710"/>
      <c r="C33" s="421" t="s">
        <v>589</v>
      </c>
      <c r="D33" s="453">
        <v>1406</v>
      </c>
      <c r="E33" s="706">
        <v>1407</v>
      </c>
      <c r="F33" s="707"/>
      <c r="G33" s="707"/>
      <c r="H33" s="707"/>
      <c r="I33" s="707"/>
      <c r="J33" s="707"/>
      <c r="K33" s="707"/>
      <c r="L33" s="707"/>
      <c r="M33" s="707"/>
      <c r="N33" s="707"/>
      <c r="O33" s="707"/>
      <c r="P33" s="708"/>
      <c r="Q33" s="706">
        <f>+E33+1</f>
        <v>1408</v>
      </c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8"/>
      <c r="AC33" s="706">
        <f>+Q33+1</f>
        <v>1409</v>
      </c>
      <c r="AD33" s="707"/>
      <c r="AE33" s="707"/>
      <c r="AF33" s="707"/>
      <c r="AG33" s="707"/>
      <c r="AH33" s="707"/>
      <c r="AI33" s="707"/>
      <c r="AJ33" s="707"/>
      <c r="AK33" s="707"/>
      <c r="AL33" s="707"/>
      <c r="AM33" s="707"/>
      <c r="AN33" s="708"/>
      <c r="AO33" s="706">
        <f>+AC33+1</f>
        <v>1410</v>
      </c>
      <c r="AP33" s="707"/>
      <c r="AQ33" s="707"/>
      <c r="AR33" s="707"/>
      <c r="AS33" s="707"/>
      <c r="AT33" s="707"/>
      <c r="AU33" s="707"/>
      <c r="AV33" s="707"/>
      <c r="AW33" s="707"/>
      <c r="AX33" s="707"/>
      <c r="AY33" s="707"/>
      <c r="AZ33" s="708"/>
      <c r="BA33" s="706">
        <f t="shared" ref="BA33" si="198">+AO33+1</f>
        <v>1411</v>
      </c>
      <c r="BB33" s="707"/>
      <c r="BC33" s="707"/>
      <c r="BD33" s="707"/>
      <c r="BE33" s="707"/>
      <c r="BF33" s="707"/>
      <c r="BG33" s="707"/>
      <c r="BH33" s="707"/>
      <c r="BI33" s="707"/>
      <c r="BJ33" s="707"/>
      <c r="BK33" s="707"/>
      <c r="BL33" s="708"/>
      <c r="BM33" s="706">
        <f t="shared" ref="BM33" si="199">+BA33+1</f>
        <v>1412</v>
      </c>
      <c r="BN33" s="707"/>
      <c r="BO33" s="707"/>
      <c r="BP33" s="707"/>
      <c r="BQ33" s="707"/>
      <c r="BR33" s="707"/>
      <c r="BS33" s="707"/>
      <c r="BT33" s="707"/>
      <c r="BU33" s="707"/>
      <c r="BV33" s="707"/>
      <c r="BW33" s="707"/>
      <c r="BX33" s="708"/>
      <c r="BY33" s="706">
        <f t="shared" ref="BY33" si="200">+BM33+1</f>
        <v>1413</v>
      </c>
      <c r="BZ33" s="707"/>
      <c r="CA33" s="707"/>
      <c r="CB33" s="707"/>
      <c r="CC33" s="707"/>
      <c r="CD33" s="707"/>
      <c r="CE33" s="707"/>
      <c r="CF33" s="707"/>
      <c r="CG33" s="707"/>
      <c r="CH33" s="707"/>
      <c r="CI33" s="707"/>
      <c r="CJ33" s="708"/>
      <c r="CK33" s="706">
        <f t="shared" ref="CK33" si="201">+BY33+1</f>
        <v>1414</v>
      </c>
      <c r="CL33" s="707"/>
      <c r="CM33" s="707"/>
      <c r="CN33" s="707"/>
      <c r="CO33" s="707"/>
      <c r="CP33" s="707"/>
      <c r="CQ33" s="707"/>
      <c r="CR33" s="707"/>
      <c r="CS33" s="707"/>
      <c r="CT33" s="707"/>
      <c r="CU33" s="707"/>
      <c r="CV33" s="708"/>
      <c r="CW33" s="706">
        <f t="shared" ref="CW33" si="202">+CK33+1</f>
        <v>1415</v>
      </c>
      <c r="CX33" s="707"/>
      <c r="CY33" s="707"/>
      <c r="CZ33" s="707"/>
      <c r="DA33" s="707"/>
      <c r="DB33" s="707"/>
      <c r="DC33" s="707"/>
      <c r="DD33" s="707"/>
      <c r="DE33" s="707"/>
      <c r="DF33" s="707"/>
      <c r="DG33" s="707"/>
      <c r="DH33" s="708"/>
      <c r="DI33" s="706">
        <f t="shared" ref="DI33" si="203">+CW33+1</f>
        <v>1416</v>
      </c>
      <c r="DJ33" s="707"/>
      <c r="DK33" s="707"/>
      <c r="DL33" s="707"/>
      <c r="DM33" s="707"/>
      <c r="DN33" s="707"/>
      <c r="DO33" s="707"/>
      <c r="DP33" s="707"/>
      <c r="DQ33" s="707"/>
      <c r="DR33" s="707"/>
      <c r="DS33" s="707"/>
      <c r="DT33" s="708"/>
      <c r="DU33" s="706">
        <f t="shared" ref="DU33" si="204">+DI33+1</f>
        <v>1417</v>
      </c>
      <c r="DV33" s="707"/>
      <c r="DW33" s="707"/>
      <c r="DX33" s="707"/>
      <c r="DY33" s="707"/>
      <c r="DZ33" s="707"/>
      <c r="EA33" s="707"/>
      <c r="EB33" s="707"/>
      <c r="EC33" s="707"/>
      <c r="ED33" s="707"/>
      <c r="EE33" s="707"/>
      <c r="EF33" s="708"/>
      <c r="EG33" s="706">
        <f t="shared" ref="EG33" si="205">+DU33+1</f>
        <v>1418</v>
      </c>
      <c r="EH33" s="707"/>
      <c r="EI33" s="707"/>
      <c r="EJ33" s="707"/>
      <c r="EK33" s="707"/>
      <c r="EL33" s="707"/>
      <c r="EM33" s="707"/>
      <c r="EN33" s="707"/>
      <c r="EO33" s="707"/>
      <c r="EP33" s="707"/>
      <c r="EQ33" s="707"/>
      <c r="ER33" s="708"/>
      <c r="ES33" s="706">
        <f t="shared" ref="ES33" si="206">+EG33+1</f>
        <v>1419</v>
      </c>
      <c r="ET33" s="707"/>
      <c r="EU33" s="707"/>
      <c r="EV33" s="707"/>
      <c r="EW33" s="707"/>
      <c r="EX33" s="707"/>
      <c r="EY33" s="707"/>
      <c r="EZ33" s="707"/>
      <c r="FA33" s="707"/>
      <c r="FB33" s="707"/>
      <c r="FC33" s="707"/>
      <c r="FD33" s="708"/>
      <c r="FE33" s="706">
        <f t="shared" ref="FE33" si="207">+ES33+1</f>
        <v>1420</v>
      </c>
      <c r="FF33" s="707"/>
      <c r="FG33" s="707"/>
      <c r="FH33" s="707"/>
      <c r="FI33" s="707"/>
      <c r="FJ33" s="707"/>
      <c r="FK33" s="707"/>
      <c r="FL33" s="707"/>
      <c r="FM33" s="707"/>
      <c r="FN33" s="707"/>
      <c r="FO33" s="707"/>
      <c r="FP33" s="708"/>
    </row>
    <row r="34" spans="2:172" ht="20.149999999999999" hidden="1" thickBot="1" x14ac:dyDescent="0.8">
      <c r="B34" s="711"/>
      <c r="C34" s="422" t="s">
        <v>588</v>
      </c>
      <c r="D34" s="454" t="s">
        <v>0</v>
      </c>
      <c r="E34" s="415">
        <v>1</v>
      </c>
      <c r="F34" s="416">
        <f>+E34+1</f>
        <v>2</v>
      </c>
      <c r="G34" s="416">
        <f t="shared" ref="G34" si="208">+F34+1</f>
        <v>3</v>
      </c>
      <c r="H34" s="416">
        <f t="shared" ref="H34" si="209">+G34+1</f>
        <v>4</v>
      </c>
      <c r="I34" s="416">
        <f t="shared" ref="I34" si="210">+H34+1</f>
        <v>5</v>
      </c>
      <c r="J34" s="416">
        <f t="shared" ref="J34" si="211">+I34+1</f>
        <v>6</v>
      </c>
      <c r="K34" s="416">
        <f t="shared" ref="K34" si="212">+J34+1</f>
        <v>7</v>
      </c>
      <c r="L34" s="416">
        <f t="shared" ref="L34" si="213">+K34+1</f>
        <v>8</v>
      </c>
      <c r="M34" s="416">
        <f t="shared" ref="M34" si="214">+L34+1</f>
        <v>9</v>
      </c>
      <c r="N34" s="416">
        <f t="shared" ref="N34" si="215">+M34+1</f>
        <v>10</v>
      </c>
      <c r="O34" s="416">
        <f t="shared" ref="O34" si="216">+N34+1</f>
        <v>11</v>
      </c>
      <c r="P34" s="416">
        <f t="shared" ref="P34" si="217">+O34+1</f>
        <v>12</v>
      </c>
      <c r="Q34" s="416">
        <f t="shared" ref="Q34" si="218">+P34+1</f>
        <v>13</v>
      </c>
      <c r="R34" s="416">
        <f t="shared" ref="R34" si="219">+Q34+1</f>
        <v>14</v>
      </c>
      <c r="S34" s="416">
        <f t="shared" ref="S34" si="220">+R34+1</f>
        <v>15</v>
      </c>
      <c r="T34" s="416">
        <f t="shared" ref="T34" si="221">+S34+1</f>
        <v>16</v>
      </c>
      <c r="U34" s="416">
        <f t="shared" ref="U34" si="222">+T34+1</f>
        <v>17</v>
      </c>
      <c r="V34" s="416">
        <f t="shared" ref="V34" si="223">+U34+1</f>
        <v>18</v>
      </c>
      <c r="W34" s="416">
        <f t="shared" ref="W34" si="224">+V34+1</f>
        <v>19</v>
      </c>
      <c r="X34" s="416">
        <f t="shared" ref="X34" si="225">+W34+1</f>
        <v>20</v>
      </c>
      <c r="Y34" s="416">
        <f t="shared" ref="Y34" si="226">+X34+1</f>
        <v>21</v>
      </c>
      <c r="Z34" s="416">
        <f t="shared" ref="Z34" si="227">+Y34+1</f>
        <v>22</v>
      </c>
      <c r="AA34" s="416">
        <f t="shared" ref="AA34" si="228">+Z34+1</f>
        <v>23</v>
      </c>
      <c r="AB34" s="416">
        <f t="shared" ref="AB34" si="229">+AA34+1</f>
        <v>24</v>
      </c>
      <c r="AC34" s="416">
        <f t="shared" ref="AC34" si="230">+AB34+1</f>
        <v>25</v>
      </c>
      <c r="AD34" s="416">
        <f t="shared" ref="AD34" si="231">+AC34+1</f>
        <v>26</v>
      </c>
      <c r="AE34" s="416">
        <f t="shared" ref="AE34" si="232">+AD34+1</f>
        <v>27</v>
      </c>
      <c r="AF34" s="416">
        <f t="shared" ref="AF34" si="233">+AE34+1</f>
        <v>28</v>
      </c>
      <c r="AG34" s="416">
        <f t="shared" ref="AG34" si="234">+AF34+1</f>
        <v>29</v>
      </c>
      <c r="AH34" s="416">
        <f t="shared" ref="AH34" si="235">+AG34+1</f>
        <v>30</v>
      </c>
      <c r="AI34" s="416">
        <f t="shared" ref="AI34" si="236">+AH34+1</f>
        <v>31</v>
      </c>
      <c r="AJ34" s="416">
        <f t="shared" ref="AJ34" si="237">+AI34+1</f>
        <v>32</v>
      </c>
      <c r="AK34" s="416">
        <f t="shared" ref="AK34" si="238">+AJ34+1</f>
        <v>33</v>
      </c>
      <c r="AL34" s="416">
        <f t="shared" ref="AL34" si="239">+AK34+1</f>
        <v>34</v>
      </c>
      <c r="AM34" s="416">
        <f t="shared" ref="AM34" si="240">+AL34+1</f>
        <v>35</v>
      </c>
      <c r="AN34" s="416">
        <f t="shared" ref="AN34" si="241">+AM34+1</f>
        <v>36</v>
      </c>
      <c r="AO34" s="416">
        <f t="shared" ref="AO34" si="242">+AN34+1</f>
        <v>37</v>
      </c>
      <c r="AP34" s="416">
        <f t="shared" ref="AP34" si="243">+AO34+1</f>
        <v>38</v>
      </c>
      <c r="AQ34" s="416">
        <f t="shared" ref="AQ34" si="244">+AP34+1</f>
        <v>39</v>
      </c>
      <c r="AR34" s="416">
        <f t="shared" ref="AR34" si="245">+AQ34+1</f>
        <v>40</v>
      </c>
      <c r="AS34" s="416">
        <f t="shared" ref="AS34" si="246">+AR34+1</f>
        <v>41</v>
      </c>
      <c r="AT34" s="416">
        <f t="shared" ref="AT34" si="247">+AS34+1</f>
        <v>42</v>
      </c>
      <c r="AU34" s="416">
        <f t="shared" ref="AU34" si="248">+AT34+1</f>
        <v>43</v>
      </c>
      <c r="AV34" s="416">
        <f t="shared" ref="AV34" si="249">+AU34+1</f>
        <v>44</v>
      </c>
      <c r="AW34" s="416">
        <f t="shared" ref="AW34" si="250">+AV34+1</f>
        <v>45</v>
      </c>
      <c r="AX34" s="416">
        <f t="shared" ref="AX34" si="251">+AW34+1</f>
        <v>46</v>
      </c>
      <c r="AY34" s="416">
        <f t="shared" ref="AY34" si="252">+AX34+1</f>
        <v>47</v>
      </c>
      <c r="AZ34" s="416">
        <f t="shared" ref="AZ34" si="253">+AY34+1</f>
        <v>48</v>
      </c>
      <c r="BA34" s="416">
        <f t="shared" ref="BA34" si="254">+AZ34+1</f>
        <v>49</v>
      </c>
      <c r="BB34" s="416">
        <f t="shared" ref="BB34" si="255">+BA34+1</f>
        <v>50</v>
      </c>
      <c r="BC34" s="416">
        <f t="shared" ref="BC34" si="256">+BB34+1</f>
        <v>51</v>
      </c>
      <c r="BD34" s="416">
        <f t="shared" ref="BD34" si="257">+BC34+1</f>
        <v>52</v>
      </c>
      <c r="BE34" s="416">
        <f t="shared" ref="BE34" si="258">+BD34+1</f>
        <v>53</v>
      </c>
      <c r="BF34" s="416">
        <f t="shared" ref="BF34" si="259">+BE34+1</f>
        <v>54</v>
      </c>
      <c r="BG34" s="416">
        <f t="shared" ref="BG34" si="260">+BF34+1</f>
        <v>55</v>
      </c>
      <c r="BH34" s="416">
        <f t="shared" ref="BH34" si="261">+BG34+1</f>
        <v>56</v>
      </c>
      <c r="BI34" s="416">
        <f t="shared" ref="BI34" si="262">+BH34+1</f>
        <v>57</v>
      </c>
      <c r="BJ34" s="416">
        <f t="shared" ref="BJ34" si="263">+BI34+1</f>
        <v>58</v>
      </c>
      <c r="BK34" s="416">
        <f t="shared" ref="BK34" si="264">+BJ34+1</f>
        <v>59</v>
      </c>
      <c r="BL34" s="416">
        <f t="shared" ref="BL34" si="265">+BK34+1</f>
        <v>60</v>
      </c>
      <c r="BM34" s="416">
        <f t="shared" ref="BM34" si="266">+BL34+1</f>
        <v>61</v>
      </c>
      <c r="BN34" s="416">
        <f t="shared" ref="BN34" si="267">+BM34+1</f>
        <v>62</v>
      </c>
      <c r="BO34" s="416">
        <f t="shared" ref="BO34" si="268">+BN34+1</f>
        <v>63</v>
      </c>
      <c r="BP34" s="416">
        <f t="shared" ref="BP34" si="269">+BO34+1</f>
        <v>64</v>
      </c>
      <c r="BQ34" s="416">
        <f t="shared" ref="BQ34" si="270">+BP34+1</f>
        <v>65</v>
      </c>
      <c r="BR34" s="416">
        <f t="shared" ref="BR34" si="271">+BQ34+1</f>
        <v>66</v>
      </c>
      <c r="BS34" s="416">
        <f t="shared" ref="BS34" si="272">+BR34+1</f>
        <v>67</v>
      </c>
      <c r="BT34" s="416">
        <f t="shared" ref="BT34" si="273">+BS34+1</f>
        <v>68</v>
      </c>
      <c r="BU34" s="416">
        <f t="shared" ref="BU34" si="274">+BT34+1</f>
        <v>69</v>
      </c>
      <c r="BV34" s="416">
        <f t="shared" ref="BV34" si="275">+BU34+1</f>
        <v>70</v>
      </c>
      <c r="BW34" s="416">
        <f t="shared" ref="BW34" si="276">+BV34+1</f>
        <v>71</v>
      </c>
      <c r="BX34" s="416">
        <f t="shared" ref="BX34" si="277">+BW34+1</f>
        <v>72</v>
      </c>
      <c r="BY34" s="416">
        <f t="shared" ref="BY34" si="278">+BX34+1</f>
        <v>73</v>
      </c>
      <c r="BZ34" s="416">
        <f t="shared" ref="BZ34" si="279">+BY34+1</f>
        <v>74</v>
      </c>
      <c r="CA34" s="416">
        <f t="shared" ref="CA34" si="280">+BZ34+1</f>
        <v>75</v>
      </c>
      <c r="CB34" s="416">
        <f t="shared" ref="CB34" si="281">+CA34+1</f>
        <v>76</v>
      </c>
      <c r="CC34" s="416">
        <f t="shared" ref="CC34" si="282">+CB34+1</f>
        <v>77</v>
      </c>
      <c r="CD34" s="416">
        <f t="shared" ref="CD34" si="283">+CC34+1</f>
        <v>78</v>
      </c>
      <c r="CE34" s="416">
        <f t="shared" ref="CE34" si="284">+CD34+1</f>
        <v>79</v>
      </c>
      <c r="CF34" s="416">
        <f t="shared" ref="CF34" si="285">+CE34+1</f>
        <v>80</v>
      </c>
      <c r="CG34" s="416">
        <f t="shared" ref="CG34" si="286">+CF34+1</f>
        <v>81</v>
      </c>
      <c r="CH34" s="416">
        <f t="shared" ref="CH34" si="287">+CG34+1</f>
        <v>82</v>
      </c>
      <c r="CI34" s="416">
        <f t="shared" ref="CI34" si="288">+CH34+1</f>
        <v>83</v>
      </c>
      <c r="CJ34" s="416">
        <f t="shared" ref="CJ34" si="289">+CI34+1</f>
        <v>84</v>
      </c>
      <c r="CK34" s="416">
        <f t="shared" ref="CK34" si="290">+CJ34+1</f>
        <v>85</v>
      </c>
      <c r="CL34" s="416">
        <f t="shared" ref="CL34" si="291">+CK34+1</f>
        <v>86</v>
      </c>
      <c r="CM34" s="416">
        <f t="shared" ref="CM34" si="292">+CL34+1</f>
        <v>87</v>
      </c>
      <c r="CN34" s="416">
        <f t="shared" ref="CN34" si="293">+CM34+1</f>
        <v>88</v>
      </c>
      <c r="CO34" s="416">
        <f t="shared" ref="CO34" si="294">+CN34+1</f>
        <v>89</v>
      </c>
      <c r="CP34" s="416">
        <f t="shared" ref="CP34" si="295">+CO34+1</f>
        <v>90</v>
      </c>
      <c r="CQ34" s="416">
        <f t="shared" ref="CQ34" si="296">+CP34+1</f>
        <v>91</v>
      </c>
      <c r="CR34" s="416">
        <f t="shared" ref="CR34" si="297">+CQ34+1</f>
        <v>92</v>
      </c>
      <c r="CS34" s="416">
        <f t="shared" ref="CS34" si="298">+CR34+1</f>
        <v>93</v>
      </c>
      <c r="CT34" s="416">
        <f t="shared" ref="CT34" si="299">+CS34+1</f>
        <v>94</v>
      </c>
      <c r="CU34" s="416">
        <f t="shared" ref="CU34" si="300">+CT34+1</f>
        <v>95</v>
      </c>
      <c r="CV34" s="416">
        <f t="shared" ref="CV34" si="301">+CU34+1</f>
        <v>96</v>
      </c>
      <c r="CW34" s="416">
        <f t="shared" ref="CW34" si="302">+CV34+1</f>
        <v>97</v>
      </c>
      <c r="CX34" s="416">
        <f t="shared" ref="CX34" si="303">+CW34+1</f>
        <v>98</v>
      </c>
      <c r="CY34" s="416">
        <f t="shared" ref="CY34" si="304">+CX34+1</f>
        <v>99</v>
      </c>
      <c r="CZ34" s="416">
        <f t="shared" ref="CZ34" si="305">+CY34+1</f>
        <v>100</v>
      </c>
      <c r="DA34" s="416">
        <f t="shared" ref="DA34" si="306">+CZ34+1</f>
        <v>101</v>
      </c>
      <c r="DB34" s="416">
        <f t="shared" ref="DB34" si="307">+DA34+1</f>
        <v>102</v>
      </c>
      <c r="DC34" s="416">
        <f t="shared" ref="DC34" si="308">+DB34+1</f>
        <v>103</v>
      </c>
      <c r="DD34" s="416">
        <f t="shared" ref="DD34" si="309">+DC34+1</f>
        <v>104</v>
      </c>
      <c r="DE34" s="416">
        <f t="shared" ref="DE34" si="310">+DD34+1</f>
        <v>105</v>
      </c>
      <c r="DF34" s="416">
        <f t="shared" ref="DF34" si="311">+DE34+1</f>
        <v>106</v>
      </c>
      <c r="DG34" s="416">
        <f t="shared" ref="DG34" si="312">+DF34+1</f>
        <v>107</v>
      </c>
      <c r="DH34" s="416">
        <f t="shared" ref="DH34" si="313">+DG34+1</f>
        <v>108</v>
      </c>
      <c r="DI34" s="416">
        <f t="shared" ref="DI34" si="314">+DH34+1</f>
        <v>109</v>
      </c>
      <c r="DJ34" s="416">
        <f t="shared" ref="DJ34" si="315">+DI34+1</f>
        <v>110</v>
      </c>
      <c r="DK34" s="416">
        <f t="shared" ref="DK34" si="316">+DJ34+1</f>
        <v>111</v>
      </c>
      <c r="DL34" s="416">
        <f t="shared" ref="DL34" si="317">+DK34+1</f>
        <v>112</v>
      </c>
      <c r="DM34" s="416">
        <f t="shared" ref="DM34" si="318">+DL34+1</f>
        <v>113</v>
      </c>
      <c r="DN34" s="416">
        <f t="shared" ref="DN34" si="319">+DM34+1</f>
        <v>114</v>
      </c>
      <c r="DO34" s="416">
        <f t="shared" ref="DO34" si="320">+DN34+1</f>
        <v>115</v>
      </c>
      <c r="DP34" s="416">
        <f t="shared" ref="DP34" si="321">+DO34+1</f>
        <v>116</v>
      </c>
      <c r="DQ34" s="416">
        <f t="shared" ref="DQ34" si="322">+DP34+1</f>
        <v>117</v>
      </c>
      <c r="DR34" s="416">
        <f t="shared" ref="DR34" si="323">+DQ34+1</f>
        <v>118</v>
      </c>
      <c r="DS34" s="416">
        <f t="shared" ref="DS34" si="324">+DR34+1</f>
        <v>119</v>
      </c>
      <c r="DT34" s="416">
        <f t="shared" ref="DT34" si="325">+DS34+1</f>
        <v>120</v>
      </c>
      <c r="DU34" s="416">
        <f t="shared" ref="DU34" si="326">+DT34+1</f>
        <v>121</v>
      </c>
      <c r="DV34" s="416">
        <f t="shared" ref="DV34" si="327">+DU34+1</f>
        <v>122</v>
      </c>
      <c r="DW34" s="416">
        <f t="shared" ref="DW34" si="328">+DV34+1</f>
        <v>123</v>
      </c>
      <c r="DX34" s="416">
        <f t="shared" ref="DX34" si="329">+DW34+1</f>
        <v>124</v>
      </c>
      <c r="DY34" s="416">
        <f t="shared" ref="DY34" si="330">+DX34+1</f>
        <v>125</v>
      </c>
      <c r="DZ34" s="416">
        <f t="shared" ref="DZ34" si="331">+DY34+1</f>
        <v>126</v>
      </c>
      <c r="EA34" s="416">
        <f t="shared" ref="EA34" si="332">+DZ34+1</f>
        <v>127</v>
      </c>
      <c r="EB34" s="416">
        <f t="shared" ref="EB34" si="333">+EA34+1</f>
        <v>128</v>
      </c>
      <c r="EC34" s="416">
        <f t="shared" ref="EC34" si="334">+EB34+1</f>
        <v>129</v>
      </c>
      <c r="ED34" s="416">
        <f t="shared" ref="ED34" si="335">+EC34+1</f>
        <v>130</v>
      </c>
      <c r="EE34" s="416">
        <f t="shared" ref="EE34" si="336">+ED34+1</f>
        <v>131</v>
      </c>
      <c r="EF34" s="416">
        <f t="shared" ref="EF34" si="337">+EE34+1</f>
        <v>132</v>
      </c>
      <c r="EG34" s="416">
        <f t="shared" ref="EG34" si="338">+EF34+1</f>
        <v>133</v>
      </c>
      <c r="EH34" s="416">
        <f t="shared" ref="EH34" si="339">+EG34+1</f>
        <v>134</v>
      </c>
      <c r="EI34" s="416">
        <f t="shared" ref="EI34" si="340">+EH34+1</f>
        <v>135</v>
      </c>
      <c r="EJ34" s="416">
        <f t="shared" ref="EJ34" si="341">+EI34+1</f>
        <v>136</v>
      </c>
      <c r="EK34" s="416">
        <f t="shared" ref="EK34" si="342">+EJ34+1</f>
        <v>137</v>
      </c>
      <c r="EL34" s="416">
        <f t="shared" ref="EL34" si="343">+EK34+1</f>
        <v>138</v>
      </c>
      <c r="EM34" s="416">
        <f t="shared" ref="EM34" si="344">+EL34+1</f>
        <v>139</v>
      </c>
      <c r="EN34" s="416">
        <f t="shared" ref="EN34" si="345">+EM34+1</f>
        <v>140</v>
      </c>
      <c r="EO34" s="416">
        <f t="shared" ref="EO34" si="346">+EN34+1</f>
        <v>141</v>
      </c>
      <c r="EP34" s="416">
        <f t="shared" ref="EP34" si="347">+EO34+1</f>
        <v>142</v>
      </c>
      <c r="EQ34" s="416">
        <f t="shared" ref="EQ34" si="348">+EP34+1</f>
        <v>143</v>
      </c>
      <c r="ER34" s="416">
        <f t="shared" ref="ER34" si="349">+EQ34+1</f>
        <v>144</v>
      </c>
      <c r="ES34" s="416">
        <f t="shared" ref="ES34" si="350">+ER34+1</f>
        <v>145</v>
      </c>
      <c r="ET34" s="416">
        <f t="shared" ref="ET34" si="351">+ES34+1</f>
        <v>146</v>
      </c>
      <c r="EU34" s="416">
        <f t="shared" ref="EU34" si="352">+ET34+1</f>
        <v>147</v>
      </c>
      <c r="EV34" s="416">
        <f t="shared" ref="EV34" si="353">+EU34+1</f>
        <v>148</v>
      </c>
      <c r="EW34" s="416">
        <f t="shared" ref="EW34" si="354">+EV34+1</f>
        <v>149</v>
      </c>
      <c r="EX34" s="416">
        <f t="shared" ref="EX34" si="355">+EW34+1</f>
        <v>150</v>
      </c>
      <c r="EY34" s="416">
        <f t="shared" ref="EY34" si="356">+EX34+1</f>
        <v>151</v>
      </c>
      <c r="EZ34" s="416">
        <f t="shared" ref="EZ34" si="357">+EY34+1</f>
        <v>152</v>
      </c>
      <c r="FA34" s="416">
        <f t="shared" ref="FA34" si="358">+EZ34+1</f>
        <v>153</v>
      </c>
      <c r="FB34" s="416">
        <f t="shared" ref="FB34" si="359">+FA34+1</f>
        <v>154</v>
      </c>
      <c r="FC34" s="416">
        <f t="shared" ref="FC34" si="360">+FB34+1</f>
        <v>155</v>
      </c>
      <c r="FD34" s="416">
        <f t="shared" ref="FD34" si="361">+FC34+1</f>
        <v>156</v>
      </c>
      <c r="FE34" s="416">
        <f t="shared" ref="FE34" si="362">+FD34+1</f>
        <v>157</v>
      </c>
      <c r="FF34" s="416">
        <f t="shared" ref="FF34" si="363">+FE34+1</f>
        <v>158</v>
      </c>
      <c r="FG34" s="416">
        <f t="shared" ref="FG34" si="364">+FF34+1</f>
        <v>159</v>
      </c>
      <c r="FH34" s="416">
        <f t="shared" ref="FH34" si="365">+FG34+1</f>
        <v>160</v>
      </c>
      <c r="FI34" s="416">
        <f t="shared" ref="FI34" si="366">+FH34+1</f>
        <v>161</v>
      </c>
      <c r="FJ34" s="416">
        <f t="shared" ref="FJ34" si="367">+FI34+1</f>
        <v>162</v>
      </c>
      <c r="FK34" s="416">
        <f t="shared" ref="FK34" si="368">+FJ34+1</f>
        <v>163</v>
      </c>
      <c r="FL34" s="416">
        <f t="shared" ref="FL34" si="369">+FK34+1</f>
        <v>164</v>
      </c>
      <c r="FM34" s="416">
        <f t="shared" ref="FM34" si="370">+FL34+1</f>
        <v>165</v>
      </c>
      <c r="FN34" s="416">
        <f t="shared" ref="FN34" si="371">+FM34+1</f>
        <v>166</v>
      </c>
      <c r="FO34" s="416">
        <f t="shared" ref="FO34" si="372">+FN34+1</f>
        <v>167</v>
      </c>
      <c r="FP34" s="416">
        <f t="shared" ref="FP34" si="373">+FO34+1</f>
        <v>168</v>
      </c>
    </row>
    <row r="35" spans="2:172" hidden="1" x14ac:dyDescent="0.75">
      <c r="B35" s="423" t="s">
        <v>374</v>
      </c>
      <c r="C35" s="424" t="s">
        <v>375</v>
      </c>
      <c r="D35" s="424" t="s">
        <v>0</v>
      </c>
      <c r="E35" s="418">
        <f>(('پيش بيني هش ريت'!$I$12*('پيش بيني هش ريت'!$I$15+درآمدها!AB$23)^3)+('پيش بيني هش ريت'!$I$13*('پيش بيني هش ريت'!$I$15+درآمدها!AB$23)^2)+('پيش بيني هش ريت'!$I$14*('پيش بيني هش ريت'!$I$15+درآمدها!AB$23)^1))/('تبديل واحد و اعداد ثابت'!$D$19)</f>
        <v>2137.8078996960003</v>
      </c>
      <c r="F35" s="418">
        <f>(('پيش بيني هش ريت'!$I$12*('پيش بيني هش ريت'!$I$15+درآمدها!AC$23)^3)+('پيش بيني هش ريت'!$I$13*('پيش بيني هش ريت'!$I$15+درآمدها!AC$23)^2)+('پيش بيني هش ريت'!$I$14*('پيش بيني هش ريت'!$I$15+درآمدها!AC$23)^1))/('تبديل واحد و اعداد ثابت'!$D$19)</f>
        <v>2185.909208392</v>
      </c>
      <c r="G35" s="418">
        <f>(('پيش بيني هش ريت'!$I$12*('پيش بيني هش ريت'!$I$15+درآمدها!AD$23)^3)+('پيش بيني هش ريت'!$I$13*('پيش بيني هش ريت'!$I$15+درآمدها!AD$23)^2)+('پيش بيني هش ريت'!$I$14*('پيش بيني هش ريت'!$I$15+درآمدها!AD$23)^1))/('تبديل واحد و اعداد ثابت'!$D$19)</f>
        <v>2234.756832</v>
      </c>
      <c r="H35" s="418">
        <f>(('پيش بيني هش ريت'!$I$12*('پيش بيني هش ريت'!$I$15+درآمدها!AE$23)^3)+('پيش بيني هش ريت'!$I$13*('پيش بيني هش ريت'!$I$15+درآمدها!AE$23)^2)+('پيش بيني هش ريت'!$I$14*('پيش بيني هش ريت'!$I$15+درآمدها!AE$23)^1))/('تبديل واحد و اعداد ثابت'!$D$19)</f>
        <v>2284.3567085280001</v>
      </c>
      <c r="I35" s="418">
        <f>(('پيش بيني هش ريت'!$I$12*('پيش بيني هش ريت'!$I$15+درآمدها!AF$23)^3)+('پيش بيني هش ريت'!$I$13*('پيش بيني هش ريت'!$I$15+درآمدها!AF$23)^2)+('پيش بيني هش ريت'!$I$14*('پيش بيني هش ريت'!$I$15+درآمدها!AF$23)^1))/('تبديل واحد و اعداد ثابت'!$D$19)</f>
        <v>2334.714775984</v>
      </c>
      <c r="J35" s="418">
        <f>(('پيش بيني هش ريت'!$I$12*('پيش بيني هش ريت'!$I$15+درآمدها!AG$23)^3)+('پيش بيني هش ريت'!$I$13*('پيش بيني هش ريت'!$I$15+درآمدها!AG$23)^2)+('پيش بيني هش ريت'!$I$14*('پيش بيني هش ريت'!$I$15+درآمدها!AG$23)^1))/('تبديل واحد و اعداد ثابت'!$D$19)</f>
        <v>2385.8369723760002</v>
      </c>
      <c r="K35" s="418">
        <f>(('پيش بيني هش ريت'!$I$12*('پيش بيني هش ريت'!$I$15+درآمدها!AH$23)^3)+('پيش بيني هش ريت'!$I$13*('پيش بيني هش ريت'!$I$15+درآمدها!AH$23)^2)+('پيش بيني هش ريت'!$I$14*('پيش بيني هش ريت'!$I$15+درآمدها!AH$23)^1))/('تبديل واحد و اعداد ثابت'!$D$19)</f>
        <v>2437.729235712</v>
      </c>
      <c r="L35" s="418">
        <f>(('پيش بيني هش ريت'!$I$12*('پيش بيني هش ريت'!$I$15+درآمدها!AI$23)^3)+('پيش بيني هش ريت'!$I$13*('پيش بيني هش ريت'!$I$15+درآمدها!AI$23)^2)+('پيش بيني هش ريت'!$I$14*('پيش بيني هش ريت'!$I$15+درآمدها!AI$23)^1))/('تبديل واحد و اعداد ثابت'!$D$19)</f>
        <v>2490.3975040000005</v>
      </c>
      <c r="M35" s="418">
        <f>(('پيش بيني هش ريت'!$I$12*('پيش بيني هش ريت'!$I$15+درآمدها!AJ$23)^3)+('پيش بيني هش ريت'!$I$13*('پيش بيني هش ريت'!$I$15+درآمدها!AJ$23)^2)+('پيش بيني هش ريت'!$I$14*('پيش بيني هش ريت'!$I$15+درآمدها!AJ$23)^1))/('تبديل واحد و اعداد ثابت'!$D$19)</f>
        <v>2543.847715248</v>
      </c>
      <c r="N35" s="418">
        <f>(('پيش بيني هش ريت'!$I$12*('پيش بيني هش ريت'!$I$15+درآمدها!AK$23)^3)+('پيش بيني هش ريت'!$I$13*('پيش بيني هش ريت'!$I$15+درآمدها!AK$23)^2)+('پيش بيني هش ريت'!$I$14*('پيش بيني هش ريت'!$I$15+درآمدها!AK$23)^1))/('تبديل واحد و اعداد ثابت'!$D$19)</f>
        <v>2598.0858074639996</v>
      </c>
      <c r="O35" s="418">
        <f>(('پيش بيني هش ريت'!$I$12*('پيش بيني هش ريت'!$I$15+درآمدها!AL$23)^3)+('پيش بيني هش ريت'!$I$13*('پيش بيني هش ريت'!$I$15+درآمدها!AL$23)^2)+('پيش بيني هش ريت'!$I$14*('پيش بيني هش ريت'!$I$15+درآمدها!AL$23)^1))/('تبديل واحد و اعداد ثابت'!$D$19)</f>
        <v>2653.1177186559999</v>
      </c>
      <c r="P35" s="418">
        <f>(('پيش بيني هش ريت'!$I$12*('پيش بيني هش ريت'!$I$15+درآمدها!AM$23)^3)+('پيش بيني هش ريت'!$I$13*('پيش بيني هش ريت'!$I$15+درآمدها!AM$23)^2)+('پيش بيني هش ريت'!$I$14*('پيش بيني هش ريت'!$I$15+درآمدها!AM$23)^1))/('تبديل واحد و اعداد ثابت'!$D$19)</f>
        <v>2708.9493868320005</v>
      </c>
      <c r="Q35" s="418">
        <f>(('پيش بيني هش ريت'!$I$12*('پيش بيني هش ريت'!$I$15+درآمدها!AN$23)^3)+('پيش بيني هش ريت'!$I$13*('پيش بيني هش ريت'!$I$15+درآمدها!AN$23)^2)+('پيش بيني هش ريت'!$I$14*('پيش بيني هش ريت'!$I$15+درآمدها!AN$23)^1))/('تبديل واحد و اعداد ثابت'!$D$19)</f>
        <v>2765.5867499999999</v>
      </c>
      <c r="R35" s="418">
        <f>(('پيش بيني هش ريت'!$I$12*('پيش بيني هش ريت'!$I$15+درآمدها!AO$23)^3)+('پيش بيني هش ريت'!$I$13*('پيش بيني هش ريت'!$I$15+درآمدها!AO$23)^2)+('پيش بيني هش ريت'!$I$14*('پيش بيني هش ريت'!$I$15+درآمدها!AO$23)^1))/('تبديل واحد و اعداد ثابت'!$D$19)</f>
        <v>2823.0357461679996</v>
      </c>
      <c r="S35" s="418">
        <f>(('پيش بيني هش ريت'!$I$12*('پيش بيني هش ريت'!$I$15+درآمدها!AP$23)^3)+('پيش بيني هش ريت'!$I$13*('پيش بيني هش ريت'!$I$15+درآمدها!AP$23)^2)+('پيش بيني هش ريت'!$I$14*('پيش بيني هش ريت'!$I$15+درآمدها!AP$23)^1))/('تبديل واحد و اعداد ثابت'!$D$19)</f>
        <v>2881.3023133440001</v>
      </c>
      <c r="T35" s="418">
        <f>(('پيش بيني هش ريت'!$I$12*('پيش بيني هش ريت'!$I$15+درآمدها!AQ$23)^3)+('پيش بيني هش ريت'!$I$13*('پيش بيني هش ريت'!$I$15+درآمدها!AQ$23)^2)+('پيش بيني هش ريت'!$I$14*('پيش بيني هش ريت'!$I$15+درآمدها!AQ$23)^1))/('تبديل واحد و اعداد ثابت'!$D$19)</f>
        <v>2940.3923895359999</v>
      </c>
      <c r="U35" s="418">
        <f>(('پيش بيني هش ريت'!$I$12*('پيش بيني هش ريت'!$I$15+درآمدها!AR$23)^3)+('پيش بيني هش ريت'!$I$13*('پيش بيني هش ريت'!$I$15+درآمدها!AR$23)^2)+('پيش بيني هش ريت'!$I$14*('پيش بيني هش ريت'!$I$15+درآمدها!AR$23)^1))/('تبديل واحد و اعداد ثابت'!$D$19)</f>
        <v>3000.3119127519999</v>
      </c>
      <c r="V35" s="418">
        <f>(('پيش بيني هش ريت'!$I$12*('پيش بيني هش ريت'!$I$15+درآمدها!AS$23)^3)+('پيش بيني هش ريت'!$I$13*('پيش بيني هش ريت'!$I$15+درآمدها!AS$23)^2)+('پيش بيني هش ريت'!$I$14*('پيش بيني هش ريت'!$I$15+درآمدها!AS$23)^1))/('تبديل واحد و اعداد ثابت'!$D$19)</f>
        <v>3061.0668210000003</v>
      </c>
      <c r="W35" s="418">
        <f>(('پيش بيني هش ريت'!$I$12*('پيش بيني هش ريت'!$I$15+درآمدها!AT$23)^3)+('پيش بيني هش ريت'!$I$13*('پيش بيني هش ريت'!$I$15+درآمدها!AT$23)^2)+('پيش بيني هش ريت'!$I$14*('پيش بيني هش ريت'!$I$15+درآمدها!AT$23)^1))/('تبديل واحد و اعداد ثابت'!$D$19)</f>
        <v>3122.663052288</v>
      </c>
      <c r="X35" s="418">
        <f>(('پيش بيني هش ريت'!$I$12*('پيش بيني هش ريت'!$I$15+درآمدها!AU$23)^3)+('پيش بيني هش ريت'!$I$13*('پيش بيني هش ريت'!$I$15+درآمدها!AU$23)^2)+('پيش بيني هش ريت'!$I$14*('پيش بيني هش ريت'!$I$15+درآمدها!AU$23)^1))/('تبديل واحد و اعداد ثابت'!$D$19)</f>
        <v>3185.106544624</v>
      </c>
      <c r="Y35" s="418">
        <f>(('پيش بيني هش ريت'!$I$12*('پيش بيني هش ريت'!$I$15+درآمدها!AV$23)^3)+('پيش بيني هش ريت'!$I$13*('پيش بيني هش ريت'!$I$15+درآمدها!AV$23)^2)+('پيش بيني هش ريت'!$I$14*('پيش بيني هش ريت'!$I$15+درآمدها!AV$23)^1))/('تبديل واحد و اعداد ثابت'!$D$19)</f>
        <v>3248.4032360159999</v>
      </c>
      <c r="Z35" s="418">
        <f>(('پيش بيني هش ريت'!$I$12*('پيش بيني هش ريت'!$I$15+درآمدها!AW$23)^3)+('پيش بيني هش ريت'!$I$13*('پيش بيني هش ريت'!$I$15+درآمدها!AW$23)^2)+('پيش بيني هش ريت'!$I$14*('پيش بيني هش ريت'!$I$15+درآمدها!AW$23)^1))/('تبديل واحد و اعداد ثابت'!$D$19)</f>
        <v>3312.5590644720005</v>
      </c>
      <c r="AA35" s="418">
        <f>(('پيش بيني هش ريت'!$I$12*('پيش بيني هش ريت'!$I$15+درآمدها!AX$23)^3)+('پيش بيني هش ريت'!$I$13*('پيش بيني هش ريت'!$I$15+درآمدها!AX$23)^2)+('پيش بيني هش ريت'!$I$14*('پيش بيني هش ريت'!$I$15+درآمدها!AX$23)^1))/('تبديل واحد و اعداد ثابت'!$D$19)</f>
        <v>3377.5799680000005</v>
      </c>
      <c r="AB35" s="418">
        <f>(('پيش بيني هش ريت'!$I$12*('پيش بيني هش ريت'!$I$15+درآمدها!AY$23)^3)+('پيش بيني هش ريت'!$I$13*('پيش بيني هش ريت'!$I$15+درآمدها!AY$23)^2)+('پيش بيني هش ريت'!$I$14*('پيش بيني هش ريت'!$I$15+درآمدها!AY$23)^1))/('تبديل واحد و اعداد ثابت'!$D$19)</f>
        <v>3443.4718846079995</v>
      </c>
      <c r="AC35" s="418">
        <f>(('پيش بيني هش ريت'!$I$12*('پيش بيني هش ريت'!$I$15+درآمدها!AZ$23)^3)+('پيش بيني هش ريت'!$I$13*('پيش بيني هش ريت'!$I$15+درآمدها!AZ$23)^2)+('پيش بيني هش ريت'!$I$14*('پيش بيني هش ريت'!$I$15+درآمدها!AZ$23)^1))/('تبديل واحد و اعداد ثابت'!$D$19)</f>
        <v>3510.2407523039997</v>
      </c>
      <c r="AD35" s="418">
        <f>(('پيش بيني هش ريت'!$I$12*('پيش بيني هش ريت'!$I$15+درآمدها!BA$23)^3)+('پيش بيني هش ريت'!$I$13*('پيش بيني هش ريت'!$I$15+درآمدها!BA$23)^2)+('پيش بيني هش ريت'!$I$14*('پيش بيني هش ريت'!$I$15+درآمدها!BA$23)^1))/('تبديل واحد و اعداد ثابت'!$D$19)</f>
        <v>3577.8925090959997</v>
      </c>
      <c r="AE35" s="418">
        <f>(('پيش بيني هش ريت'!$I$12*('پيش بيني هش ريت'!$I$15+درآمدها!BB$23)^3)+('پيش بيني هش ريت'!$I$13*('پيش بيني هش ريت'!$I$15+درآمدها!BB$23)^2)+('پيش بيني هش ريت'!$I$14*('پيش بيني هش ريت'!$I$15+درآمدها!BB$23)^1))/('تبديل واحد و اعداد ثابت'!$D$19)</f>
        <v>3646.4330929919997</v>
      </c>
      <c r="AF35" s="418">
        <f>(('پيش بيني هش ريت'!$I$12*('پيش بيني هش ريت'!$I$15+درآمدها!BC$23)^3)+('پيش بيني هش ريت'!$I$13*('پيش بيني هش ريت'!$I$15+درآمدها!BC$23)^2)+('پيش بيني هش ريت'!$I$14*('پيش بيني هش ريت'!$I$15+درآمدها!BC$23)^1))/('تبديل واحد و اعداد ثابت'!$D$19)</f>
        <v>3715.8684420000004</v>
      </c>
      <c r="AG35" s="418">
        <f>(('پيش بيني هش ريت'!$I$12*('پيش بيني هش ريت'!$I$15+درآمدها!BD$23)^3)+('پيش بيني هش ريت'!$I$13*('پيش بيني هش ريت'!$I$15+درآمدها!BD$23)^2)+('پيش بيني هش ريت'!$I$14*('پيش بيني هش ريت'!$I$15+درآمدها!BD$23)^1))/('تبديل واحد و اعداد ثابت'!$D$19)</f>
        <v>3786.2044941280001</v>
      </c>
      <c r="AH35" s="418">
        <f>(('پيش بيني هش ريت'!$I$12*('پيش بيني هش ريت'!$I$15+درآمدها!BE$23)^3)+('پيش بيني هش ريت'!$I$13*('پيش بيني هش ريت'!$I$15+درآمدها!BE$23)^2)+('پيش بيني هش ريت'!$I$14*('پيش بيني هش ريت'!$I$15+درآمدها!BE$23)^1))/('تبديل واحد و اعداد ثابت'!$D$19)</f>
        <v>3857.4471873840002</v>
      </c>
      <c r="AI35" s="418">
        <f>(('پيش بيني هش ريت'!$I$12*('پيش بيني هش ريت'!$I$15+درآمدها!BF$23)^3)+('پيش بيني هش ريت'!$I$13*('پيش بيني هش ريت'!$I$15+درآمدها!BF$23)^2)+('پيش بيني هش ريت'!$I$14*('پيش بيني هش ريت'!$I$15+درآمدها!BF$23)^1))/('تبديل واحد و اعداد ثابت'!$D$19)</f>
        <v>3929.6024597760002</v>
      </c>
      <c r="AJ35" s="418">
        <f>(('پيش بيني هش ريت'!$I$12*('پيش بيني هش ريت'!$I$15+درآمدها!BG$23)^3)+('پيش بيني هش ريت'!$I$13*('پيش بيني هش ريت'!$I$15+درآمدها!BG$23)^2)+('پيش بيني هش ريت'!$I$14*('پيش بيني هش ريت'!$I$15+درآمدها!BG$23)^1))/('تبديل واحد و اعداد ثابت'!$D$19)</f>
        <v>4002.6762493119995</v>
      </c>
      <c r="AK35" s="418">
        <f>(('پيش بيني هش ريت'!$I$12*('پيش بيني هش ريت'!$I$15+درآمدها!BH$23)^3)+('پيش بيني هش ريت'!$I$13*('پيش بيني هش ريت'!$I$15+درآمدها!BH$23)^2)+('پيش بيني هش ريت'!$I$14*('پيش بيني هش ريت'!$I$15+درآمدها!BH$23)^1))/('تبديل واحد و اعداد ثابت'!$D$19)</f>
        <v>4076.6744939999999</v>
      </c>
      <c r="AL35" s="418">
        <f>(('پيش بيني هش ريت'!$I$12*('پيش بيني هش ريت'!$I$15+درآمدها!BI$23)^3)+('پيش بيني هش ريت'!$I$13*('پيش بيني هش ريت'!$I$15+درآمدها!BI$23)^2)+('پيش بيني هش ريت'!$I$14*('پيش بيني هش ريت'!$I$15+درآمدها!BI$23)^1))/('تبديل واحد و اعداد ثابت'!$D$19)</f>
        <v>4151.603131848</v>
      </c>
      <c r="AM35" s="418">
        <f>(('پيش بيني هش ريت'!$I$12*('پيش بيني هش ريت'!$I$15+درآمدها!BJ$23)^3)+('پيش بيني هش ريت'!$I$13*('پيش بيني هش ريت'!$I$15+درآمدها!BJ$23)^2)+('پيش بيني هش ريت'!$I$14*('پيش بيني هش ريت'!$I$15+درآمدها!BJ$23)^1))/('تبديل واحد و اعداد ثابت'!$D$19)</f>
        <v>4227.468100864</v>
      </c>
      <c r="AN35" s="418">
        <f>(('پيش بيني هش ريت'!$I$12*('پيش بيني هش ريت'!$I$15+درآمدها!BK$23)^3)+('پيش بيني هش ريت'!$I$13*('پيش بيني هش ريت'!$I$15+درآمدها!BK$23)^2)+('پيش بيني هش ريت'!$I$14*('پيش بيني هش ريت'!$I$15+درآمدها!BK$23)^1))/('تبديل واحد و اعداد ثابت'!$D$19)</f>
        <v>4304.2753390560001</v>
      </c>
      <c r="AO35" s="418">
        <f>(('پيش بيني هش ريت'!$I$12*('پيش بيني هش ريت'!$I$15+درآمدها!BL$23)^3)+('پيش بيني هش ريت'!$I$13*('پيش بيني هش ريت'!$I$15+درآمدها!BL$23)^2)+('پيش بيني هش ريت'!$I$14*('پيش بيني هش ريت'!$I$15+درآمدها!BL$23)^1))/('تبديل واحد و اعداد ثابت'!$D$19)</f>
        <v>4382.0307844320005</v>
      </c>
      <c r="AP35" s="418">
        <f>(('پيش بيني هش ريت'!$I$12*('پيش بيني هش ريت'!$I$15+درآمدها!BM$23)^3)+('پيش بيني هش ريت'!$I$13*('پيش بيني هش ريت'!$I$15+درآمدها!BM$23)^2)+('پيش بيني هش ريت'!$I$14*('پيش بيني هش ريت'!$I$15+درآمدها!BM$23)^1))/('تبديل واحد و اعداد ثابت'!$D$19)</f>
        <v>4460.7403750000003</v>
      </c>
      <c r="AQ35" s="418">
        <f>(('پيش بيني هش ريت'!$I$12*('پيش بيني هش ريت'!$I$15+درآمدها!BN$23)^3)+('پيش بيني هش ريت'!$I$13*('پيش بيني هش ريت'!$I$15+درآمدها!BN$23)^2)+('پيش بيني هش ريت'!$I$14*('پيش بيني هش ريت'!$I$15+درآمدها!BN$23)^1))/('تبديل واحد و اعداد ثابت'!$D$19)</f>
        <v>4540.4100487679998</v>
      </c>
      <c r="AR35" s="418">
        <f>(('پيش بيني هش ريت'!$I$12*('پيش بيني هش ريت'!$I$15+درآمدها!BO$23)^3)+('پيش بيني هش ريت'!$I$13*('پيش بيني هش ريت'!$I$15+درآمدها!BO$23)^2)+('پيش بيني هش ريت'!$I$14*('پيش بيني هش ريت'!$I$15+درآمدها!BO$23)^1))/('تبديل واحد و اعداد ثابت'!$D$19)</f>
        <v>4621.045743744</v>
      </c>
      <c r="AS35" s="418">
        <f>(('پيش بيني هش ريت'!$I$12*('پيش بيني هش ريت'!$I$15+درآمدها!BP$23)^3)+('پيش بيني هش ريت'!$I$13*('پيش بيني هش ريت'!$I$15+درآمدها!BP$23)^2)+('پيش بيني هش ريت'!$I$14*('پيش بيني هش ريت'!$I$15+درآمدها!BP$23)^1))/('تبديل واحد و اعداد ثابت'!$D$19)</f>
        <v>4702.6533979360001</v>
      </c>
      <c r="AT35" s="418">
        <f>(('پيش بيني هش ريت'!$I$12*('پيش بيني هش ريت'!$I$15+درآمدها!BQ$23)^3)+('پيش بيني هش ريت'!$I$13*('پيش بيني هش ريت'!$I$15+درآمدها!BQ$23)^2)+('پيش بيني هش ريت'!$I$14*('پيش بيني هش ريت'!$I$15+درآمدها!BQ$23)^1))/('تبديل واحد و اعداد ثابت'!$D$19)</f>
        <v>4785.2389493520004</v>
      </c>
      <c r="AU35" s="418">
        <f>(('پيش بيني هش ريت'!$I$12*('پيش بيني هش ريت'!$I$15+درآمدها!BR$23)^3)+('پيش بيني هش ريت'!$I$13*('پيش بيني هش ريت'!$I$15+درآمدها!BR$23)^2)+('پيش بيني هش ريت'!$I$14*('پيش بيني هش ريت'!$I$15+درآمدها!BR$23)^1))/('تبديل واحد و اعداد ثابت'!$D$19)</f>
        <v>4868.8083360000001</v>
      </c>
      <c r="AV35" s="418">
        <f>(('پيش بيني هش ريت'!$I$12*('پيش بيني هش ريت'!$I$15+درآمدها!BS$23)^3)+('پيش بيني هش ريت'!$I$13*('پيش بيني هش ريت'!$I$15+درآمدها!BS$23)^2)+('پيش بيني هش ريت'!$I$14*('پيش بيني هش ريت'!$I$15+درآمدها!BS$23)^1))/('تبديل واحد و اعداد ثابت'!$D$19)</f>
        <v>4953.3674958880001</v>
      </c>
      <c r="AW35" s="418">
        <f>(('پيش بيني هش ريت'!$I$12*('پيش بيني هش ريت'!$I$15+درآمدها!BT$23)^3)+('پيش بيني هش ريت'!$I$13*('پيش بيني هش ريت'!$I$15+درآمدها!BT$23)^2)+('پيش بيني هش ريت'!$I$14*('پيش بيني هش ريت'!$I$15+درآمدها!BT$23)^1))/('تبديل واحد و اعداد ثابت'!$D$19)</f>
        <v>5038.9223670239999</v>
      </c>
      <c r="AX35" s="418">
        <f>(('پيش بيني هش ريت'!$I$12*('پيش بيني هش ريت'!$I$15+درآمدها!BU$23)^3)+('پيش بيني هش ريت'!$I$13*('پيش بيني هش ريت'!$I$15+درآمدها!BU$23)^2)+('پيش بيني هش ريت'!$I$14*('پيش بيني هش ريت'!$I$15+درآمدها!BU$23)^1))/('تبديل واحد و اعداد ثابت'!$D$19)</f>
        <v>5125.4788874159995</v>
      </c>
      <c r="AY35" s="418">
        <f>(('پيش بيني هش ريت'!$I$12*('پيش بيني هش ريت'!$I$15+درآمدها!BV$23)^3)+('پيش بيني هش ريت'!$I$13*('پيش بيني هش ريت'!$I$15+درآمدها!BV$23)^2)+('پيش بيني هش ريت'!$I$14*('پيش بيني هش ريت'!$I$15+درآمدها!BV$23)^1))/('تبديل واحد و اعداد ثابت'!$D$19)</f>
        <v>5213.0429950719999</v>
      </c>
      <c r="AZ35" s="418">
        <f>(('پيش بيني هش ريت'!$I$12*('پيش بيني هش ريت'!$I$15+درآمدها!BW$23)^3)+('پيش بيني هش ريت'!$I$13*('پيش بيني هش ريت'!$I$15+درآمدها!BW$23)^2)+('پيش بيني هش ريت'!$I$14*('پيش بيني هش ريت'!$I$15+درآمدها!BW$23)^1))/('تبديل واحد و اعداد ثابت'!$D$19)</f>
        <v>5301.6206280000006</v>
      </c>
      <c r="BA35" s="418">
        <f>(('پيش بيني هش ريت'!$I$12*('پيش بيني هش ريت'!$I$15+درآمدها!BX$23)^3)+('پيش بيني هش ريت'!$I$13*('پيش بيني هش ريت'!$I$15+درآمدها!BX$23)^2)+('پيش بيني هش ريت'!$I$14*('پيش بيني هش ريت'!$I$15+درآمدها!BX$23)^1))/('تبديل واحد و اعداد ثابت'!$D$19)</f>
        <v>5391.2177242080006</v>
      </c>
      <c r="BB35" s="418">
        <f>(('پيش بيني هش ريت'!$I$12*('پيش بيني هش ريت'!$I$15+درآمدها!BY$23)^3)+('پيش بيني هش ريت'!$I$13*('پيش بيني هش ريت'!$I$15+درآمدها!BY$23)^2)+('پيش بيني هش ريت'!$I$14*('پيش بيني هش ريت'!$I$15+درآمدها!BY$23)^1))/('تبديل واحد و اعداد ثابت'!$D$19)</f>
        <v>5481.8402217040002</v>
      </c>
      <c r="BC35" s="418">
        <f>(('پيش بيني هش ريت'!$I$12*('پيش بيني هش ريت'!$I$15+درآمدها!BZ$23)^3)+('پيش بيني هش ريت'!$I$13*('پيش بيني هش ريت'!$I$15+درآمدها!BZ$23)^2)+('پيش بيني هش ريت'!$I$14*('پيش بيني هش ريت'!$I$15+درآمدها!BZ$23)^1))/('تبديل واحد و اعداد ثابت'!$D$19)</f>
        <v>5573.4940584959995</v>
      </c>
      <c r="BD35" s="418">
        <f>(('پيش بيني هش ريت'!$I$12*('پيش بيني هش ريت'!$I$15+درآمدها!CA$23)^3)+('پيش بيني هش ريت'!$I$13*('پيش بيني هش ريت'!$I$15+درآمدها!CA$23)^2)+('پيش بيني هش ريت'!$I$14*('پيش بيني هش ريت'!$I$15+درآمدها!CA$23)^1))/('تبديل واحد و اعداد ثابت'!$D$19)</f>
        <v>5666.1851725920005</v>
      </c>
      <c r="BE35" s="418">
        <f>(('پيش بيني هش ريت'!$I$12*('پيش بيني هش ريت'!$I$15+درآمدها!CB$23)^3)+('پيش بيني هش ريت'!$I$13*('پيش بيني هش ريت'!$I$15+درآمدها!CB$23)^2)+('پيش بيني هش ريت'!$I$14*('پيش بيني هش ريت'!$I$15+درآمدها!CB$23)^1))/('تبديل واحد و اعداد ثابت'!$D$19)</f>
        <v>5759.9195019999997</v>
      </c>
      <c r="BF35" s="418">
        <f>(('پيش بيني هش ريت'!$I$12*('پيش بيني هش ريت'!$I$15+درآمدها!CC$23)^3)+('پيش بيني هش ريت'!$I$13*('پيش بيني هش ريت'!$I$15+درآمدها!CC$23)^2)+('پيش بيني هش ريت'!$I$14*('پيش بيني هش ريت'!$I$15+درآمدها!CC$23)^1))/('تبديل واحد و اعداد ثابت'!$D$19)</f>
        <v>5854.702984728</v>
      </c>
      <c r="BG35" s="418">
        <f>(('پيش بيني هش ريت'!$I$12*('پيش بيني هش ريت'!$I$15+درآمدها!CD$23)^3)+('پيش بيني هش ريت'!$I$13*('پيش بيني هش ريت'!$I$15+درآمدها!CD$23)^2)+('پيش بيني هش ريت'!$I$14*('پيش بيني هش ريت'!$I$15+درآمدها!CD$23)^1))/('تبديل واحد و اعداد ثابت'!$D$19)</f>
        <v>5950.5415587839998</v>
      </c>
      <c r="BH35" s="418">
        <f>(('پيش بيني هش ريت'!$I$12*('پيش بيني هش ريت'!$I$15+درآمدها!CE$23)^3)+('پيش بيني هش ريت'!$I$13*('پيش بيني هش ريت'!$I$15+درآمدها!CE$23)^2)+('پيش بيني هش ريت'!$I$14*('پيش بيني هش ريت'!$I$15+درآمدها!CE$23)^1))/('تبديل واحد و اعداد ثابت'!$D$19)</f>
        <v>6047.441162176</v>
      </c>
      <c r="BI35" s="418">
        <f>(('پيش بيني هش ريت'!$I$12*('پيش بيني هش ريت'!$I$15+درآمدها!CF$23)^3)+('پيش بيني هش ريت'!$I$13*('پيش بيني هش ريت'!$I$15+درآمدها!CF$23)^2)+('پيش بيني هش ريت'!$I$14*('پيش بيني هش ريت'!$I$15+درآمدها!CF$23)^1))/('تبديل واحد و اعداد ثابت'!$D$19)</f>
        <v>6145.4077329119991</v>
      </c>
      <c r="BJ35" s="418">
        <f>(('پيش بيني هش ريت'!$I$12*('پيش بيني هش ريت'!$I$15+درآمدها!CG$23)^3)+('پيش بيني هش ريت'!$I$13*('پيش بيني هش ريت'!$I$15+درآمدها!CG$23)^2)+('پيش بيني هش ريت'!$I$14*('پيش بيني هش ريت'!$I$15+درآمدها!CG$23)^1))/('تبديل واحد و اعداد ثابت'!$D$19)</f>
        <v>6244.447208999999</v>
      </c>
      <c r="BK35" s="418">
        <f>(('پيش بيني هش ريت'!$I$12*('پيش بيني هش ريت'!$I$15+درآمدها!CH$23)^3)+('پيش بيني هش ريت'!$I$13*('پيش بيني هش ريت'!$I$15+درآمدها!CH$23)^2)+('پيش بيني هش ريت'!$I$14*('پيش بيني هش ريت'!$I$15+درآمدها!CH$23)^1))/('تبديل واحد و اعداد ثابت'!$D$19)</f>
        <v>6344.5655284479999</v>
      </c>
      <c r="BL35" s="418">
        <f>(('پيش بيني هش ريت'!$I$12*('پيش بيني هش ريت'!$I$15+درآمدها!CI$23)^3)+('پيش بيني هش ريت'!$I$13*('پيش بيني هش ريت'!$I$15+درآمدها!CI$23)^2)+('پيش بيني هش ريت'!$I$14*('پيش بيني هش ريت'!$I$15+درآمدها!CI$23)^1))/('تبديل واحد و اعداد ثابت'!$D$19)</f>
        <v>6445.7686292640001</v>
      </c>
      <c r="BM35" s="418">
        <f>(('پيش بيني هش ريت'!$I$12*('پيش بيني هش ريت'!$I$15+درآمدها!CJ$23)^3)+('پيش بيني هش ريت'!$I$13*('پيش بيني هش ريت'!$I$15+درآمدها!CJ$23)^2)+('پيش بيني هش ريت'!$I$14*('پيش بيني هش ريت'!$I$15+درآمدها!CJ$23)^1))/('تبديل واحد و اعداد ثابت'!$D$19)</f>
        <v>6548.0624494560006</v>
      </c>
      <c r="BN35" s="418">
        <f>(('پيش بيني هش ريت'!$I$12*('پيش بيني هش ريت'!$I$15+درآمدها!CK$23)^3)+('پيش بيني هش ريت'!$I$13*('پيش بيني هش ريت'!$I$15+درآمدها!CK$23)^2)+('پيش بيني هش ريت'!$I$14*('پيش بيني هش ريت'!$I$15+درآمدها!CK$23)^1))/('تبديل واحد و اعداد ثابت'!$D$19)</f>
        <v>6651.4529270319999</v>
      </c>
      <c r="BO35" s="418">
        <f>(('پيش بيني هش ريت'!$I$12*('پيش بيني هش ريت'!$I$15+درآمدها!CL$23)^3)+('پيش بيني هش ريت'!$I$13*('پيش بيني هش ريت'!$I$15+درآمدها!CL$23)^2)+('پيش بيني هش ريت'!$I$14*('پيش بيني هش ريت'!$I$15+درآمدها!CL$23)^1))/('تبديل واحد و اعداد ثابت'!$D$19)</f>
        <v>6755.9459999999999</v>
      </c>
      <c r="BP35" s="418">
        <f>(('پيش بيني هش ريت'!$I$12*('پيش بيني هش ريت'!$I$15+درآمدها!CM$23)^3)+('پيش بيني هش ريت'!$I$13*('پيش بيني هش ريت'!$I$15+درآمدها!CM$23)^2)+('پيش بيني هش ريت'!$I$14*('پيش بيني هش ريت'!$I$15+درآمدها!CM$23)^1))/('تبديل واحد و اعداد ثابت'!$D$19)</f>
        <v>6861.5476063680007</v>
      </c>
      <c r="BQ35" s="418">
        <f>(('پيش بيني هش ريت'!$I$12*('پيش بيني هش ريت'!$I$15+درآمدها!CN$23)^3)+('پيش بيني هش ريت'!$I$13*('پيش بيني هش ريت'!$I$15+درآمدها!CN$23)^2)+('پيش بيني هش ريت'!$I$14*('پيش بيني هش ريت'!$I$15+درآمدها!CN$23)^1))/('تبديل واحد و اعداد ثابت'!$D$19)</f>
        <v>6968.2636841440008</v>
      </c>
      <c r="BR35" s="418">
        <f>(('پيش بيني هش ريت'!$I$12*('پيش بيني هش ريت'!$I$15+درآمدها!CO$23)^3)+('پيش بيني هش ريت'!$I$13*('پيش بيني هش ريت'!$I$15+درآمدها!CO$23)^2)+('پيش بيني هش ريت'!$I$14*('پيش بيني هش ريت'!$I$15+درآمدها!CO$23)^1))/('تبديل واحد و اعداد ثابت'!$D$19)</f>
        <v>7076.1001713360001</v>
      </c>
      <c r="BS35" s="418">
        <f>(('پيش بيني هش ريت'!$I$12*('پيش بيني هش ريت'!$I$15+درآمدها!CP$23)^3)+('پيش بيني هش ريت'!$I$13*('پيش بيني هش ريت'!$I$15+درآمدها!CP$23)^2)+('پيش بيني هش ريت'!$I$14*('پيش بيني هش ريت'!$I$15+درآمدها!CP$23)^1))/('تبديل واحد و اعداد ثابت'!$D$19)</f>
        <v>7185.0630059520008</v>
      </c>
      <c r="BT35" s="418">
        <f>(('پيش بيني هش ريت'!$I$12*('پيش بيني هش ريت'!$I$15+درآمدها!CQ$23)^3)+('پيش بيني هش ريت'!$I$13*('پيش بيني هش ريت'!$I$15+درآمدها!CQ$23)^2)+('پيش بيني هش ريت'!$I$14*('پيش بيني هش ريت'!$I$15+درآمدها!CQ$23)^1))/('تبديل واحد و اعداد ثابت'!$D$19)</f>
        <v>7295.1581260000003</v>
      </c>
      <c r="BU35" s="418">
        <f>(('پيش بيني هش ريت'!$I$12*('پيش بيني هش ريت'!$I$15+درآمدها!CR$23)^3)+('پيش بيني هش ريت'!$I$13*('پيش بيني هش ريت'!$I$15+درآمدها!CR$23)^2)+('پيش بيني هش ريت'!$I$14*('پيش بيني هش ريت'!$I$15+درآمدها!CR$23)^1))/('تبديل واحد و اعداد ثابت'!$D$19)</f>
        <v>7406.3914694879995</v>
      </c>
      <c r="BV35" s="418">
        <f>(('پيش بيني هش ريت'!$I$12*('پيش بيني هش ريت'!$I$15+درآمدها!CS$23)^3)+('پيش بيني هش ريت'!$I$13*('پيش بيني هش ريت'!$I$15+درآمدها!CS$23)^2)+('پيش بيني هش ريت'!$I$14*('پيش بيني هش ريت'!$I$15+درآمدها!CS$23)^1))/('تبديل واحد و اعداد ثابت'!$D$19)</f>
        <v>7518.7689744239997</v>
      </c>
      <c r="BW35" s="418">
        <f>(('پيش بيني هش ريت'!$I$12*('پيش بيني هش ريت'!$I$15+درآمدها!CT$23)^3)+('پيش بيني هش ريت'!$I$13*('پيش بيني هش ريت'!$I$15+درآمدها!CT$23)^2)+('پيش بيني هش ريت'!$I$14*('پيش بيني هش ريت'!$I$15+درآمدها!CT$23)^1))/('تبديل واحد و اعداد ثابت'!$D$19)</f>
        <v>7632.2965788160009</v>
      </c>
      <c r="BX35" s="418">
        <f>(('پيش بيني هش ريت'!$I$12*('پيش بيني هش ريت'!$I$15+درآمدها!CU$23)^3)+('پيش بيني هش ريت'!$I$13*('پيش بيني هش ريت'!$I$15+درآمدها!CU$23)^2)+('پيش بيني هش ريت'!$I$14*('پيش بيني هش ريت'!$I$15+درآمدها!CU$23)^1))/('تبديل واحد و اعداد ثابت'!$D$19)</f>
        <v>7746.9802206719996</v>
      </c>
      <c r="BY35" s="418">
        <f>(('پيش بيني هش ريت'!$I$12*('پيش بيني هش ريت'!$I$15+درآمدها!CV$23)^3)+('پيش بيني هش ريت'!$I$13*('پيش بيني هش ريت'!$I$15+درآمدها!CV$23)^2)+('پيش بيني هش ريت'!$I$14*('پيش بيني هش ريت'!$I$15+درآمدها!CV$23)^1))/('تبديل واحد و اعداد ثابت'!$D$19)</f>
        <v>7862.8258380000007</v>
      </c>
      <c r="BZ35" s="418">
        <f>(('پيش بيني هش ريت'!$I$12*('پيش بيني هش ريت'!$I$15+درآمدها!CW$23)^3)+('پيش بيني هش ريت'!$I$13*('پيش بيني هش ريت'!$I$15+درآمدها!CW$23)^2)+('پيش بيني هش ريت'!$I$14*('پيش بيني هش ريت'!$I$15+درآمدها!CW$23)^1))/('تبديل واحد و اعداد ثابت'!$D$19)</f>
        <v>7979.8393688080014</v>
      </c>
      <c r="CA35" s="418">
        <f>(('پيش بيني هش ريت'!$I$12*('پيش بيني هش ريت'!$I$15+درآمدها!CX$23)^3)+('پيش بيني هش ريت'!$I$13*('پيش بيني هش ريت'!$I$15+درآمدها!CX$23)^2)+('پيش بيني هش ريت'!$I$14*('پيش بيني هش ريت'!$I$15+درآمدها!CX$23)^1))/('تبديل واحد و اعداد ثابت'!$D$19)</f>
        <v>8098.0267511040001</v>
      </c>
      <c r="CB35" s="418">
        <f>(('پيش بيني هش ريت'!$I$12*('پيش بيني هش ريت'!$I$15+درآمدها!CY$23)^3)+('پيش بيني هش ريت'!$I$13*('پيش بيني هش ريت'!$I$15+درآمدها!CY$23)^2)+('پيش بيني هش ريت'!$I$14*('پيش بيني هش ريت'!$I$15+درآمدها!CY$23)^1))/('تبديل واحد و اعداد ثابت'!$D$19)</f>
        <v>8217.3939228960007</v>
      </c>
      <c r="CC35" s="418">
        <f>(('پيش بيني هش ريت'!$I$12*('پيش بيني هش ريت'!$I$15+درآمدها!CZ$23)^3)+('پيش بيني هش ريت'!$I$13*('پيش بيني هش ريت'!$I$15+درآمدها!CZ$23)^2)+('پيش بيني هش ريت'!$I$14*('پيش بيني هش ريت'!$I$15+درآمدها!CZ$23)^1))/('تبديل واحد و اعداد ثابت'!$D$19)</f>
        <v>8337.9468221920015</v>
      </c>
      <c r="CD35" s="418">
        <f>(('پيش بيني هش ريت'!$I$12*('پيش بيني هش ريت'!$I$15+درآمدها!DA$23)^3)+('پيش بيني هش ريت'!$I$13*('پيش بيني هش ريت'!$I$15+درآمدها!DA$23)^2)+('پيش بيني هش ريت'!$I$14*('پيش بيني هش ريت'!$I$15+درآمدها!DA$23)^1))/('تبديل واحد و اعداد ثابت'!$D$19)</f>
        <v>8459.6913869999989</v>
      </c>
      <c r="CE35" s="418">
        <f>(('پيش بيني هش ريت'!$I$12*('پيش بيني هش ريت'!$I$15+درآمدها!DB$23)^3)+('پيش بيني هش ريت'!$I$13*('پيش بيني هش ريت'!$I$15+درآمدها!DB$23)^2)+('پيش بيني هش ريت'!$I$14*('پيش بيني هش ريت'!$I$15+درآمدها!DB$23)^1))/('تبديل واحد و اعداد ثابت'!$D$19)</f>
        <v>8582.6335553280023</v>
      </c>
      <c r="CF35" s="418">
        <f>(('پيش بيني هش ريت'!$I$12*('پيش بيني هش ريت'!$I$15+درآمدها!DC$23)^3)+('پيش بيني هش ريت'!$I$13*('پيش بيني هش ريت'!$I$15+درآمدها!DC$23)^2)+('پيش بيني هش ريت'!$I$14*('پيش بيني هش ريت'!$I$15+درآمدها!DC$23)^1))/('تبديل واحد و اعداد ثابت'!$D$19)</f>
        <v>8706.7792651840009</v>
      </c>
      <c r="CG35" s="418">
        <f>(('پيش بيني هش ريت'!$I$12*('پيش بيني هش ريت'!$I$15+درآمدها!DD$23)^3)+('پيش بيني هش ريت'!$I$13*('پيش بيني هش ريت'!$I$15+درآمدها!DD$23)^2)+('پيش بيني هش ريت'!$I$14*('پيش بيني هش ريت'!$I$15+درآمدها!DD$23)^1))/('تبديل واحد و اعداد ثابت'!$D$19)</f>
        <v>8832.1344545760003</v>
      </c>
      <c r="CH35" s="418">
        <f>(('پيش بيني هش ريت'!$I$12*('پيش بيني هش ريت'!$I$15+درآمدها!DE$23)^3)+('پيش بيني هش ريت'!$I$13*('پيش بيني هش ريت'!$I$15+درآمدها!DE$23)^2)+('پيش بيني هش ريت'!$I$14*('پيش بيني هش ريت'!$I$15+درآمدها!DE$23)^1))/('تبديل واحد و اعداد ثابت'!$D$19)</f>
        <v>8958.7050615120006</v>
      </c>
      <c r="CI35" s="418">
        <f>(('پيش بيني هش ريت'!$I$12*('پيش بيني هش ريت'!$I$15+درآمدها!DF$23)^3)+('پيش بيني هش ريت'!$I$13*('پيش بيني هش ريت'!$I$15+درآمدها!DF$23)^2)+('پيش بيني هش ريت'!$I$14*('پيش بيني هش ريت'!$I$15+درآمدها!DF$23)^1))/('تبديل واحد و اعداد ثابت'!$D$19)</f>
        <v>9086.4970240000002</v>
      </c>
      <c r="CJ35" s="418">
        <f>(('پيش بيني هش ريت'!$I$12*('پيش بيني هش ريت'!$I$15+درآمدها!DG$23)^3)+('پيش بيني هش ريت'!$I$13*('پيش بيني هش ريت'!$I$15+درآمدها!DG$23)^2)+('پيش بيني هش ريت'!$I$14*('پيش بيني هش ريت'!$I$15+درآمدها!DG$23)^1))/('تبديل واحد و اعداد ثابت'!$D$19)</f>
        <v>9215.5162800480011</v>
      </c>
      <c r="CK35" s="418">
        <f>(('پيش بيني هش ريت'!$I$12*('پيش بيني هش ريت'!$I$15+درآمدها!DH$23)^3)+('پيش بيني هش ريت'!$I$13*('پيش بيني هش ريت'!$I$15+درآمدها!DH$23)^2)+('پيش بيني هش ريت'!$I$14*('پيش بيني هش ريت'!$I$15+درآمدها!DH$23)^1))/('تبديل واحد و اعداد ثابت'!$D$19)</f>
        <v>9345.7687676640016</v>
      </c>
      <c r="CL35" s="418">
        <f>(('پيش بيني هش ريت'!$I$12*('پيش بيني هش ريت'!$I$15+درآمدها!DI$23)^3)+('پيش بيني هش ريت'!$I$13*('پيش بيني هش ريت'!$I$15+درآمدها!DI$23)^2)+('پيش بيني هش ريت'!$I$14*('پيش بيني هش ريت'!$I$15+درآمدها!DI$23)^1))/('تبديل واحد و اعداد ثابت'!$D$19)</f>
        <v>9477.2604248560001</v>
      </c>
      <c r="CM35" s="418">
        <f>(('پيش بيني هش ريت'!$I$12*('پيش بيني هش ريت'!$I$15+درآمدها!DJ$23)^3)+('پيش بيني هش ريت'!$I$13*('پيش بيني هش ريت'!$I$15+درآمدها!DJ$23)^2)+('پيش بيني هش ريت'!$I$14*('پيش بيني هش ريت'!$I$15+درآمدها!DJ$23)^1))/('تبديل واحد و اعداد ثابت'!$D$19)</f>
        <v>9609.9971896320003</v>
      </c>
      <c r="CN35" s="418">
        <f>(('پيش بيني هش ريت'!$I$12*('پيش بيني هش ريت'!$I$15+درآمدها!DK$23)^3)+('پيش بيني هش ريت'!$I$13*('پيش بيني هش ريت'!$I$15+درآمدها!DK$23)^2)+('پيش بيني هش ريت'!$I$14*('پيش بيني هش ريت'!$I$15+درآمدها!DK$23)^1))/('تبديل واحد و اعداد ثابت'!$D$19)</f>
        <v>9743.9850000000006</v>
      </c>
      <c r="CO35" s="418">
        <f>(('پيش بيني هش ريت'!$I$12*('پيش بيني هش ريت'!$I$15+درآمدها!DL$23)^3)+('پيش بيني هش ريت'!$I$13*('پيش بيني هش ريت'!$I$15+درآمدها!DL$23)^2)+('پيش بيني هش ريت'!$I$14*('پيش بيني هش ريت'!$I$15+درآمدها!DL$23)^1))/('تبديل واحد و اعداد ثابت'!$D$19)</f>
        <v>9879.2297939679993</v>
      </c>
      <c r="CP35" s="418">
        <f>(('پيش بيني هش ريت'!$I$12*('پيش بيني هش ريت'!$I$15+درآمدها!DM$23)^3)+('پيش بيني هش ريت'!$I$13*('پيش بيني هش ريت'!$I$15+درآمدها!DM$23)^2)+('پيش بيني هش ريت'!$I$14*('پيش بيني هش ريت'!$I$15+درآمدها!DM$23)^1))/('تبديل واحد و اعداد ثابت'!$D$19)</f>
        <v>10015.737509544</v>
      </c>
      <c r="CQ35" s="418">
        <f>(('پيش بيني هش ريت'!$I$12*('پيش بيني هش ريت'!$I$15+درآمدها!DN$23)^3)+('پيش بيني هش ريت'!$I$13*('پيش بيني هش ريت'!$I$15+درآمدها!DN$23)^2)+('پيش بيني هش ريت'!$I$14*('پيش بيني هش ريت'!$I$15+درآمدها!DN$23)^1))/('تبديل واحد و اعداد ثابت'!$D$19)</f>
        <v>10153.514084735998</v>
      </c>
      <c r="CR35" s="418">
        <f>(('پيش بيني هش ريت'!$I$12*('پيش بيني هش ريت'!$I$15+درآمدها!DO$23)^3)+('پيش بيني هش ريت'!$I$13*('پيش بيني هش ريت'!$I$15+درآمدها!DO$23)^2)+('پيش بيني هش ريت'!$I$14*('پيش بيني هش ريت'!$I$15+درآمدها!DO$23)^1))/('تبديل واحد و اعداد ثابت'!$D$19)</f>
        <v>10292.565457551998</v>
      </c>
      <c r="CS35" s="418">
        <f>(('پيش بيني هش ريت'!$I$12*('پيش بيني هش ريت'!$I$15+درآمدها!DP$23)^3)+('پيش بيني هش ريت'!$I$13*('پيش بيني هش ريت'!$I$15+درآمدها!DP$23)^2)+('پيش بيني هش ريت'!$I$14*('پيش بيني هش ريت'!$I$15+درآمدها!DP$23)^1))/('تبديل واحد و اعداد ثابت'!$D$19)</f>
        <v>10432.897566</v>
      </c>
      <c r="CT35" s="418">
        <f>(('پيش بيني هش ريت'!$I$12*('پيش بيني هش ريت'!$I$15+درآمدها!DQ$23)^3)+('پيش بيني هش ريت'!$I$13*('پيش بيني هش ريت'!$I$15+درآمدها!DQ$23)^2)+('پيش بيني هش ريت'!$I$14*('پيش بيني هش ريت'!$I$15+درآمدها!DQ$23)^1))/('تبديل واحد و اعداد ثابت'!$D$19)</f>
        <v>10574.516348088</v>
      </c>
      <c r="CU35" s="418">
        <f>(('پيش بيني هش ريت'!$I$12*('پيش بيني هش ريت'!$I$15+درآمدها!DR$23)^3)+('پيش بيني هش ريت'!$I$13*('پيش بيني هش ريت'!$I$15+درآمدها!DR$23)^2)+('پيش بيني هش ريت'!$I$14*('پيش بيني هش ريت'!$I$15+درآمدها!DR$23)^1))/('تبديل واحد و اعداد ثابت'!$D$19)</f>
        <v>10717.427741824</v>
      </c>
      <c r="CV35" s="418">
        <f>(('پيش بيني هش ريت'!$I$12*('پيش بيني هش ريت'!$I$15+درآمدها!DS$23)^3)+('پيش بيني هش ريت'!$I$13*('پيش بيني هش ريت'!$I$15+درآمدها!DS$23)^2)+('پيش بيني هش ريت'!$I$14*('پيش بيني هش ريت'!$I$15+درآمدها!DS$23)^1))/('تبديل واحد و اعداد ثابت'!$D$19)</f>
        <v>10861.637685216001</v>
      </c>
      <c r="CW35" s="418">
        <f>(('پيش بيني هش ريت'!$I$12*('پيش بيني هش ريت'!$I$15+درآمدها!DT$23)^3)+('پيش بيني هش ريت'!$I$13*('پيش بيني هش ريت'!$I$15+درآمدها!DT$23)^2)+('پيش بيني هش ريت'!$I$14*('پيش بيني هش ريت'!$I$15+درآمدها!DT$23)^1))/('تبديل واحد و اعداد ثابت'!$D$19)</f>
        <v>11007.152116272</v>
      </c>
      <c r="CX35" s="418">
        <f>(('پيش بيني هش ريت'!$I$12*('پيش بيني هش ريت'!$I$15+درآمدها!DU$23)^3)+('پيش بيني هش ريت'!$I$13*('پيش بيني هش ريت'!$I$15+درآمدها!DU$23)^2)+('پيش بيني هش ريت'!$I$14*('پيش بيني هش ريت'!$I$15+درآمدها!DU$23)^1))/('تبديل واحد و اعداد ثابت'!$D$19)</f>
        <v>11153.976972999999</v>
      </c>
      <c r="CY35" s="418">
        <f>(('پيش بيني هش ريت'!$I$12*('پيش بيني هش ريت'!$I$15+درآمدها!DV$23)^3)+('پيش بيني هش ريت'!$I$13*('پيش بيني هش ريت'!$I$15+درآمدها!DV$23)^2)+('پيش بيني هش ريت'!$I$14*('پيش بيني هش ريت'!$I$15+درآمدها!DV$23)^1))/('تبديل واحد و اعداد ثابت'!$D$19)</f>
        <v>11302.118193408</v>
      </c>
      <c r="CZ35" s="418">
        <f>(('پيش بيني هش ريت'!$I$12*('پيش بيني هش ريت'!$I$15+درآمدها!DW$23)^3)+('پيش بيني هش ريت'!$I$13*('پيش بيني هش ريت'!$I$15+درآمدها!DW$23)^2)+('پيش بيني هش ريت'!$I$14*('پيش بيني هش ريت'!$I$15+درآمدها!DW$23)^1))/('تبديل واحد و اعداد ثابت'!$D$19)</f>
        <v>11451.581715503999</v>
      </c>
      <c r="DA35" s="418">
        <f>(('پيش بيني هش ريت'!$I$12*('پيش بيني هش ريت'!$I$15+درآمدها!DX$23)^3)+('پيش بيني هش ريت'!$I$13*('پيش بيني هش ريت'!$I$15+درآمدها!DX$23)^2)+('پيش بيني هش ريت'!$I$14*('پيش بيني هش ريت'!$I$15+درآمدها!DX$23)^1))/('تبديل واحد و اعداد ثابت'!$D$19)</f>
        <v>11602.373477296002</v>
      </c>
      <c r="DB35" s="418">
        <f>(('پيش بيني هش ريت'!$I$12*('پيش بيني هش ريت'!$I$15+درآمدها!DY$23)^3)+('پيش بيني هش ريت'!$I$13*('پيش بيني هش ريت'!$I$15+درآمدها!DY$23)^2)+('پيش بيني هش ريت'!$I$14*('پيش بيني هش ريت'!$I$15+درآمدها!DY$23)^1))/('تبديل واحد و اعداد ثابت'!$D$19)</f>
        <v>11754.499416791999</v>
      </c>
      <c r="DC35" s="418">
        <f>(('پيش بيني هش ريت'!$I$12*('پيش بيني هش ريت'!$I$15+درآمدها!DZ$23)^3)+('پيش بيني هش ريت'!$I$13*('پيش بيني هش ريت'!$I$15+درآمدها!DZ$23)^2)+('پيش بيني هش ريت'!$I$14*('پيش بيني هش ريت'!$I$15+درآمدها!DZ$23)^1))/('تبديل واحد و اعداد ثابت'!$D$19)</f>
        <v>11907.965472</v>
      </c>
      <c r="DD35" s="418">
        <f>(('پيش بيني هش ريت'!$I$12*('پيش بيني هش ريت'!$I$15+درآمدها!EA$23)^3)+('پيش بيني هش ريت'!$I$13*('پيش بيني هش ريت'!$I$15+درآمدها!EA$23)^2)+('پيش بيني هش ريت'!$I$14*('پيش بيني هش ريت'!$I$15+درآمدها!EA$23)^1))/('تبديل واحد و اعداد ثابت'!$D$19)</f>
        <v>12062.777580927999</v>
      </c>
      <c r="DE35" s="418">
        <f>(('پيش بيني هش ريت'!$I$12*('پيش بيني هش ريت'!$I$15+درآمدها!EB$23)^3)+('پيش بيني هش ريت'!$I$13*('پيش بيني هش ريت'!$I$15+درآمدها!EB$23)^2)+('پيش بيني هش ريت'!$I$14*('پيش بيني هش ريت'!$I$15+درآمدها!EB$23)^1))/('تبديل واحد و اعداد ثابت'!$D$19)</f>
        <v>12218.941681584001</v>
      </c>
      <c r="DF35" s="418">
        <f>(('پيش بيني هش ريت'!$I$12*('پيش بيني هش ريت'!$I$15+درآمدها!EC$23)^3)+('پيش بيني هش ريت'!$I$13*('پيش بيني هش ريت'!$I$15+درآمدها!EC$23)^2)+('پيش بيني هش ريت'!$I$14*('پيش بيني هش ريت'!$I$15+درآمدها!EC$23)^1))/('تبديل واحد و اعداد ثابت'!$D$19)</f>
        <v>12376.463711975999</v>
      </c>
      <c r="DG35" s="418">
        <f>(('پيش بيني هش ريت'!$I$12*('پيش بيني هش ريت'!$I$15+درآمدها!ED$23)^3)+('پيش بيني هش ريت'!$I$13*('پيش بيني هش ريت'!$I$15+درآمدها!ED$23)^2)+('پيش بيني هش ريت'!$I$14*('پيش بيني هش ريت'!$I$15+درآمدها!ED$23)^1))/('تبديل واحد و اعداد ثابت'!$D$19)</f>
        <v>12535.349610112</v>
      </c>
      <c r="DH35" s="418">
        <f>(('پيش بيني هش ريت'!$I$12*('پيش بيني هش ريت'!$I$15+درآمدها!EE$23)^3)+('پيش بيني هش ريت'!$I$13*('پيش بيني هش ريت'!$I$15+درآمدها!EE$23)^2)+('پيش بيني هش ريت'!$I$14*('پيش بيني هش ريت'!$I$15+درآمدها!EE$23)^1))/('تبديل واحد و اعداد ثابت'!$D$19)</f>
        <v>12695.605314</v>
      </c>
      <c r="DI35" s="418">
        <f>(('پيش بيني هش ريت'!$I$12*('پيش بيني هش ريت'!$I$15+درآمدها!EF$23)^3)+('پيش بيني هش ريت'!$I$13*('پيش بيني هش ريت'!$I$15+درآمدها!EF$23)^2)+('پيش بيني هش ريت'!$I$14*('پيش بيني هش ريت'!$I$15+درآمدها!EF$23)^1))/('تبديل واحد و اعداد ثابت'!$D$19)</f>
        <v>12857.236761647999</v>
      </c>
      <c r="DJ35" s="418">
        <f>(('پيش بيني هش ريت'!$I$12*('پيش بيني هش ريت'!$I$15+درآمدها!EG$23)^3)+('پيش بيني هش ريت'!$I$13*('پيش بيني هش ريت'!$I$15+درآمدها!EG$23)^2)+('پيش بيني هش ريت'!$I$14*('پيش بيني هش ريت'!$I$15+درآمدها!EG$23)^1))/('تبديل واحد و اعداد ثابت'!$D$19)</f>
        <v>13020.249891064001</v>
      </c>
      <c r="DK35" s="418">
        <f>(('پيش بيني هش ريت'!$I$12*('پيش بيني هش ريت'!$I$15+درآمدها!EH$23)^3)+('پيش بيني هش ريت'!$I$13*('پيش بيني هش ريت'!$I$15+درآمدها!EH$23)^2)+('پيش بيني هش ريت'!$I$14*('پيش بيني هش ريت'!$I$15+درآمدها!EH$23)^1))/('تبديل واحد و اعداد ثابت'!$D$19)</f>
        <v>13184.650640256001</v>
      </c>
      <c r="DL35" s="418">
        <f>(('پيش بيني هش ريت'!$I$12*('پيش بيني هش ريت'!$I$15+درآمدها!EI$23)^3)+('پيش بيني هش ريت'!$I$13*('پيش بيني هش ريت'!$I$15+درآمدها!EI$23)^2)+('پيش بيني هش ريت'!$I$14*('پيش بيني هش ريت'!$I$15+درآمدها!EI$23)^1))/('تبديل واحد و اعداد ثابت'!$D$19)</f>
        <v>13350.444947231999</v>
      </c>
      <c r="DM35" s="418">
        <f>(('پيش بيني هش ريت'!$I$12*('پيش بيني هش ريت'!$I$15+درآمدها!EJ$23)^3)+('پيش بيني هش ريت'!$I$13*('پيش بيني هش ريت'!$I$15+درآمدها!EJ$23)^2)+('پيش بيني هش ريت'!$I$14*('پيش بيني هش ريت'!$I$15+درآمدها!EJ$23)^1))/('تبديل واحد و اعداد ثابت'!$D$19)</f>
        <v>13517.63875</v>
      </c>
      <c r="DN35" s="418">
        <f>(('پيش بيني هش ريت'!$I$12*('پيش بيني هش ريت'!$I$15+درآمدها!EK$23)^3)+('پيش بيني هش ريت'!$I$13*('پيش بيني هش ريت'!$I$15+درآمدها!EK$23)^2)+('پيش بيني هش ريت'!$I$14*('پيش بيني هش ريت'!$I$15+درآمدها!EK$23)^1))/('تبديل واحد و اعداد ثابت'!$D$19)</f>
        <v>13686.237986568001</v>
      </c>
      <c r="DO35" s="418">
        <f>(('پيش بيني هش ريت'!$I$12*('پيش بيني هش ريت'!$I$15+درآمدها!EL$23)^3)+('پيش بيني هش ريت'!$I$13*('پيش بيني هش ريت'!$I$15+درآمدها!EL$23)^2)+('پيش بيني هش ريت'!$I$14*('پيش بيني هش ريت'!$I$15+درآمدها!EL$23)^1))/('تبديل واحد و اعداد ثابت'!$D$19)</f>
        <v>13856.248594943998</v>
      </c>
      <c r="DP35" s="418">
        <f>(('پيش بيني هش ريت'!$I$12*('پيش بيني هش ريت'!$I$15+درآمدها!EM$23)^3)+('پيش بيني هش ريت'!$I$13*('پيش بيني هش ريت'!$I$15+درآمدها!EM$23)^2)+('پيش بيني هش ريت'!$I$14*('پيش بيني هش ريت'!$I$15+درآمدها!EM$23)^1))/('تبديل واحد و اعداد ثابت'!$D$19)</f>
        <v>14027.676513136001</v>
      </c>
      <c r="DQ35" s="418">
        <f>(('پيش بيني هش ريت'!$I$12*('پيش بيني هش ريت'!$I$15+درآمدها!EN$23)^3)+('پيش بيني هش ريت'!$I$13*('پيش بيني هش ريت'!$I$15+درآمدها!EN$23)^2)+('پيش بيني هش ريت'!$I$14*('پيش بيني هش ريت'!$I$15+درآمدها!EN$23)^1))/('تبديل واحد و اعداد ثابت'!$D$19)</f>
        <v>14200.527679152001</v>
      </c>
      <c r="DR35" s="418">
        <f>(('پيش بيني هش ريت'!$I$12*('پيش بيني هش ريت'!$I$15+درآمدها!EO$23)^3)+('پيش بيني هش ريت'!$I$13*('پيش بيني هش ريت'!$I$15+درآمدها!EO$23)^2)+('پيش بيني هش ريت'!$I$14*('پيش بيني هش ريت'!$I$15+درآمدها!EO$23)^1))/('تبديل واحد و اعداد ثابت'!$D$19)</f>
        <v>14374.808031</v>
      </c>
      <c r="DS35" s="418">
        <f>(('پيش بيني هش ريت'!$I$12*('پيش بيني هش ريت'!$I$15+درآمدها!EP$23)^3)+('پيش بيني هش ريت'!$I$13*('پيش بيني هش ريت'!$I$15+درآمدها!EP$23)^2)+('پيش بيني هش ريت'!$I$14*('پيش بيني هش ريت'!$I$15+درآمدها!EP$23)^1))/('تبديل واحد و اعداد ثابت'!$D$19)</f>
        <v>14550.523506688</v>
      </c>
      <c r="DT35" s="418">
        <f>(('پيش بيني هش ريت'!$I$12*('پيش بيني هش ريت'!$I$15+درآمدها!EQ$23)^3)+('پيش بيني هش ريت'!$I$13*('پيش بيني هش ريت'!$I$15+درآمدها!EQ$23)^2)+('پيش بيني هش ريت'!$I$14*('پيش بيني هش ريت'!$I$15+درآمدها!EQ$23)^1))/('تبديل واحد و اعداد ثابت'!$D$19)</f>
        <v>14727.680044224002</v>
      </c>
      <c r="DU35" s="418">
        <f>(('پيش بيني هش ريت'!$I$12*('پيش بيني هش ريت'!$I$15+درآمدها!ER$23)^3)+('پيش بيني هش ريت'!$I$13*('پيش بيني هش ريت'!$I$15+درآمدها!ER$23)^2)+('پيش بيني هش ريت'!$I$14*('پيش بيني هش ريت'!$I$15+درآمدها!ER$23)^1))/('تبديل واحد و اعداد ثابت'!$D$19)</f>
        <v>14906.283581615997</v>
      </c>
      <c r="DV35" s="418">
        <f>(('پيش بيني هش ريت'!$I$12*('پيش بيني هش ريت'!$I$15+درآمدها!ES$23)^3)+('پيش بيني هش ريت'!$I$13*('پيش بيني هش ريت'!$I$15+درآمدها!ES$23)^2)+('پيش بيني هش ريت'!$I$14*('پيش بيني هش ريت'!$I$15+درآمدها!ES$23)^1))/('تبديل واحد و اعداد ثابت'!$D$19)</f>
        <v>15086.340056872001</v>
      </c>
      <c r="DW35" s="418">
        <f>(('پيش بيني هش ريت'!$I$12*('پيش بيني هش ريت'!$I$15+درآمدها!ET$23)^3)+('پيش بيني هش ريت'!$I$13*('پيش بيني هش ريت'!$I$15+درآمدها!ET$23)^2)+('پيش بيني هش ريت'!$I$14*('پيش بيني هش ريت'!$I$15+درآمدها!ET$23)^1))/('تبديل واحد و اعداد ثابت'!$D$19)</f>
        <v>15267.855408000001</v>
      </c>
      <c r="DX35" s="418">
        <f>(('پيش بيني هش ريت'!$I$12*('پيش بيني هش ريت'!$I$15+درآمدها!EU$23)^3)+('پيش بيني هش ريت'!$I$13*('پيش بيني هش ريت'!$I$15+درآمدها!EU$23)^2)+('پيش بيني هش ريت'!$I$14*('پيش بيني هش ريت'!$I$15+درآمدها!EU$23)^1))/('تبديل واحد و اعداد ثابت'!$D$19)</f>
        <v>15450.835573008</v>
      </c>
      <c r="DY35" s="418">
        <f>(('پيش بيني هش ريت'!$I$12*('پيش بيني هش ريت'!$I$15+درآمدها!EV$23)^3)+('پيش بيني هش ريت'!$I$13*('پيش بيني هش ريت'!$I$15+درآمدها!EV$23)^2)+('پيش بيني هش ريت'!$I$14*('پيش بيني هش ريت'!$I$15+درآمدها!EV$23)^1))/('تبديل واحد و اعداد ثابت'!$D$19)</f>
        <v>15635.286489904001</v>
      </c>
      <c r="DZ35" s="418">
        <f>(('پيش بيني هش ريت'!$I$12*('پيش بيني هش ريت'!$I$15+درآمدها!EW$23)^3)+('پيش بيني هش ريت'!$I$13*('پيش بيني هش ريت'!$I$15+درآمدها!EW$23)^2)+('پيش بيني هش ريت'!$I$14*('پيش بيني هش ريت'!$I$15+درآمدها!EW$23)^1))/('تبديل واحد و اعداد ثابت'!$D$19)</f>
        <v>15821.214096696001</v>
      </c>
      <c r="EA35" s="418">
        <f>(('پيش بيني هش ريت'!$I$12*('پيش بيني هش ريت'!$I$15+درآمدها!EX$23)^3)+('پيش بيني هش ريت'!$I$13*('پيش بيني هش ريت'!$I$15+درآمدها!EX$23)^2)+('پيش بيني هش ريت'!$I$14*('پيش بيني هش ريت'!$I$15+درآمدها!EX$23)^1))/('تبديل واحد و اعداد ثابت'!$D$19)</f>
        <v>16008.624331391997</v>
      </c>
      <c r="EB35" s="418">
        <f>(('پيش بيني هش ريت'!$I$12*('پيش بيني هش ريت'!$I$15+درآمدها!EY$23)^3)+('پيش بيني هش ريت'!$I$13*('پيش بيني هش ريت'!$I$15+درآمدها!EY$23)^2)+('پيش بيني هش ريت'!$I$14*('پيش بيني هش ريت'!$I$15+درآمدها!EY$23)^1))/('تبديل واحد و اعداد ثابت'!$D$19)</f>
        <v>16197.523132</v>
      </c>
      <c r="EC35" s="418">
        <f>(('پيش بيني هش ريت'!$I$12*('پيش بيني هش ريت'!$I$15+درآمدها!EZ$23)^3)+('پيش بيني هش ريت'!$I$13*('پيش بيني هش ريت'!$I$15+درآمدها!EZ$23)^2)+('پيش بيني هش ريت'!$I$14*('پيش بيني هش ريت'!$I$15+درآمدها!EZ$23)^1))/('تبديل واحد و اعداد ثابت'!$D$19)</f>
        <v>16387.916436528001</v>
      </c>
      <c r="ED35" s="418">
        <f>(('پيش بيني هش ريت'!$I$12*('پيش بيني هش ريت'!$I$15+درآمدها!FA$23)^3)+('پيش بيني هش ريت'!$I$13*('پيش بيني هش ريت'!$I$15+درآمدها!FA$23)^2)+('پيش بيني هش ريت'!$I$14*('پيش بيني هش ريت'!$I$15+درآمدها!FA$23)^1))/('تبديل واحد و اعداد ثابت'!$D$19)</f>
        <v>16579.810182983998</v>
      </c>
      <c r="EE35" s="418">
        <f>(('پيش بيني هش ريت'!$I$12*('پيش بيني هش ريت'!$I$15+درآمدها!FB$23)^3)+('پيش بيني هش ريت'!$I$13*('پيش بيني هش ريت'!$I$15+درآمدها!FB$23)^2)+('پيش بيني هش ريت'!$I$14*('پيش بيني هش ريت'!$I$15+درآمدها!FB$23)^1))/('تبديل واحد و اعداد ثابت'!$D$19)</f>
        <v>16773.210309375998</v>
      </c>
      <c r="EF35" s="418">
        <f>(('پيش بيني هش ريت'!$I$12*('پيش بيني هش ريت'!$I$15+درآمدها!FC$23)^3)+('پيش بيني هش ريت'!$I$13*('پيش بيني هش ريت'!$I$15+درآمدها!FC$23)^2)+('پيش بيني هش ريت'!$I$14*('پيش بيني هش ريت'!$I$15+درآمدها!FC$23)^1))/('تبديل واحد و اعداد ثابت'!$D$19)</f>
        <v>16968.122753712003</v>
      </c>
      <c r="EG35" s="418">
        <f>(('پيش بيني هش ريت'!$I$12*('پيش بيني هش ريت'!$I$15+درآمدها!FD$23)^3)+('پيش بيني هش ريت'!$I$13*('پيش بيني هش ريت'!$I$15+درآمدها!FD$23)^2)+('پيش بيني هش ريت'!$I$14*('پيش بيني هش ريت'!$I$15+درآمدها!FD$23)^1))/('تبديل واحد و اعداد ثابت'!$D$19)</f>
        <v>17164.553454000001</v>
      </c>
      <c r="EH35" s="418">
        <f>(('پيش بيني هش ريت'!$I$12*('پيش بيني هش ريت'!$I$15+درآمدها!FE$23)^3)+('پيش بيني هش ريت'!$I$13*('پيش بيني هش ريت'!$I$15+درآمدها!FE$23)^2)+('پيش بيني هش ريت'!$I$14*('پيش بيني هش ريت'!$I$15+درآمدها!FE$23)^1))/('تبديل واحد و اعداد ثابت'!$D$19)</f>
        <v>17362.508348248</v>
      </c>
      <c r="EI35" s="418">
        <f>(('پيش بيني هش ريت'!$I$12*('پيش بيني هش ريت'!$I$15+درآمدها!FF$23)^3)+('پيش بيني هش ريت'!$I$13*('پيش بيني هش ريت'!$I$15+درآمدها!FF$23)^2)+('پيش بيني هش ريت'!$I$14*('پيش بيني هش ريت'!$I$15+درآمدها!FF$23)^1))/('تبديل واحد و اعداد ثابت'!$D$19)</f>
        <v>17561.993374464</v>
      </c>
      <c r="EJ35" s="418">
        <f>(('پيش بيني هش ريت'!$I$12*('پيش بيني هش ريت'!$I$15+درآمدها!FG$23)^3)+('پيش بيني هش ريت'!$I$13*('پيش بيني هش ريت'!$I$15+درآمدها!FG$23)^2)+('پيش بيني هش ريت'!$I$14*('پيش بيني هش ريت'!$I$15+درآمدها!FG$23)^1))/('تبديل واحد و اعداد ثابت'!$D$19)</f>
        <v>17763.014470656002</v>
      </c>
      <c r="EK35" s="418">
        <f>(('پيش بيني هش ريت'!$I$12*('پيش بيني هش ريت'!$I$15+درآمدها!FH$23)^3)+('پيش بيني هش ريت'!$I$13*('پيش بيني هش ريت'!$I$15+درآمدها!FH$23)^2)+('پيش بيني هش ريت'!$I$14*('پيش بيني هش ريت'!$I$15+درآمدها!FH$23)^1))/('تبديل واحد و اعداد ثابت'!$D$19)</f>
        <v>17965.577574832001</v>
      </c>
      <c r="EL35" s="418">
        <f>(('پيش بيني هش ريت'!$I$12*('پيش بيني هش ريت'!$I$15+درآمدها!FI$23)^3)+('پيش بيني هش ريت'!$I$13*('پيش بيني هش ريت'!$I$15+درآمدها!FI$23)^2)+('پيش بيني هش ريت'!$I$14*('پيش بيني هش ريت'!$I$15+درآمدها!FI$23)^1))/('تبديل واحد و اعداد ثابت'!$D$19)</f>
        <v>18169.688625000003</v>
      </c>
      <c r="EM35" s="418">
        <f>(('پيش بيني هش ريت'!$I$12*('پيش بيني هش ريت'!$I$15+درآمدها!FJ$23)^3)+('پيش بيني هش ريت'!$I$13*('پيش بيني هش ريت'!$I$15+درآمدها!FJ$23)^2)+('پيش بيني هش ريت'!$I$14*('پيش بيني هش ريت'!$I$15+درآمدها!FJ$23)^1))/('تبديل واحد و اعداد ثابت'!$D$19)</f>
        <v>18375.353559167997</v>
      </c>
      <c r="EN35" s="418">
        <f>(('پيش بيني هش ريت'!$I$12*('پيش بيني هش ريت'!$I$15+درآمدها!FK$23)^3)+('پيش بيني هش ريت'!$I$13*('پيش بيني هش ريت'!$I$15+درآمدها!FK$23)^2)+('پيش بيني هش ريت'!$I$14*('پيش بيني هش ريت'!$I$15+درآمدها!FK$23)^1))/('تبديل واحد و اعداد ثابت'!$D$19)</f>
        <v>18582.578315344002</v>
      </c>
      <c r="EO35" s="418">
        <f>(('پيش بيني هش ريت'!$I$12*('پيش بيني هش ريت'!$I$15+درآمدها!FL$23)^3)+('پيش بيني هش ريت'!$I$13*('پيش بيني هش ريت'!$I$15+درآمدها!FL$23)^2)+('پيش بيني هش ريت'!$I$14*('پيش بيني هش ريت'!$I$15+درآمدها!FL$23)^1))/('تبديل واحد و اعداد ثابت'!$D$19)</f>
        <v>18791.368831536001</v>
      </c>
      <c r="EP35" s="418">
        <f>(('پيش بيني هش ريت'!$I$12*('پيش بيني هش ريت'!$I$15+درآمدها!FM$23)^3)+('پيش بيني هش ريت'!$I$13*('پيش بيني هش ريت'!$I$15+درآمدها!FM$23)^2)+('پيش بيني هش ريت'!$I$14*('پيش بيني هش ريت'!$I$15+درآمدها!FM$23)^1))/('تبديل واحد و اعداد ثابت'!$D$19)</f>
        <v>19001.731045752</v>
      </c>
      <c r="EQ35" s="418">
        <f>(('پيش بيني هش ريت'!$I$12*('پيش بيني هش ريت'!$I$15+درآمدها!FN$23)^3)+('پيش بيني هش ريت'!$I$13*('پيش بيني هش ريت'!$I$15+درآمدها!FN$23)^2)+('پيش بيني هش ريت'!$I$14*('پيش بيني هش ريت'!$I$15+درآمدها!FN$23)^1))/('تبديل واحد و اعداد ثابت'!$D$19)</f>
        <v>19213.670896000003</v>
      </c>
      <c r="ER35" s="418">
        <f>(('پيش بيني هش ريت'!$I$12*('پيش بيني هش ريت'!$I$15+درآمدها!FO$23)^3)+('پيش بيني هش ريت'!$I$13*('پيش بيني هش ريت'!$I$15+درآمدها!FO$23)^2)+('پيش بيني هش ريت'!$I$14*('پيش بيني هش ريت'!$I$15+درآمدها!FO$23)^1))/('تبديل واحد و اعداد ثابت'!$D$19)</f>
        <v>19427.194320287999</v>
      </c>
      <c r="ES35" s="418">
        <f>(('پيش بيني هش ريت'!$I$12*('پيش بيني هش ريت'!$I$15+درآمدها!FP$23)^3)+('پيش بيني هش ريت'!$I$13*('پيش بيني هش ريت'!$I$15+درآمدها!FP$23)^2)+('پيش بيني هش ريت'!$I$14*('پيش بيني هش ريت'!$I$15+درآمدها!FP$23)^1))/('تبديل واحد و اعداد ثابت'!$D$19)</f>
        <v>19642.307256624004</v>
      </c>
      <c r="ET35" s="418">
        <f>(('پيش بيني هش ريت'!$I$12*('پيش بيني هش ريت'!$I$15+درآمدها!FQ$23)^3)+('پيش بيني هش ريت'!$I$13*('پيش بيني هش ريت'!$I$15+درآمدها!FQ$23)^2)+('پيش بيني هش ريت'!$I$14*('پيش بيني هش ريت'!$I$15+درآمدها!FQ$23)^1))/('تبديل واحد و اعداد ثابت'!$D$19)</f>
        <v>19859.015643015999</v>
      </c>
      <c r="EU35" s="418">
        <f>(('پيش بيني هش ريت'!$I$12*('پيش بيني هش ريت'!$I$15+درآمدها!FR$23)^3)+('پيش بيني هش ريت'!$I$13*('پيش بيني هش ريت'!$I$15+درآمدها!FR$23)^2)+('پيش بيني هش ريت'!$I$14*('پيش بيني هش ريت'!$I$15+درآمدها!FR$23)^1))/('تبديل واحد و اعداد ثابت'!$D$19)</f>
        <v>20077.325417472002</v>
      </c>
      <c r="EV35" s="418">
        <f>(('پيش بيني هش ريت'!$I$12*('پيش بيني هش ريت'!$I$15+درآمدها!FS$23)^3)+('پيش بيني هش ريت'!$I$13*('پيش بيني هش ريت'!$I$15+درآمدها!FS$23)^2)+('پيش بيني هش ريت'!$I$14*('پيش بيني هش ريت'!$I$15+درآمدها!FS$23)^1))/('تبديل واحد و اعداد ثابت'!$D$19)</f>
        <v>20297.242518000003</v>
      </c>
      <c r="EW35" s="418">
        <f>(('پيش بيني هش ريت'!$I$12*('پيش بيني هش ريت'!$I$15+درآمدها!FT$23)^3)+('پيش بيني هش ريت'!$I$13*('پيش بيني هش ريت'!$I$15+درآمدها!FT$23)^2)+('پيش بيني هش ريت'!$I$14*('پيش بيني هش ريت'!$I$15+درآمدها!FT$23)^1))/('تبديل واحد و اعداد ثابت'!$D$19)</f>
        <v>20518.772882607998</v>
      </c>
      <c r="EX35" s="418">
        <f>(('پيش بيني هش ريت'!$I$12*('پيش بيني هش ريت'!$I$15+درآمدها!FU$23)^3)+('پيش بيني هش ريت'!$I$13*('پيش بيني هش ريت'!$I$15+درآمدها!FU$23)^2)+('پيش بيني هش ريت'!$I$14*('پيش بيني هش ريت'!$I$15+درآمدها!FU$23)^1))/('تبديل واحد و اعداد ثابت'!$D$19)</f>
        <v>20741.922449304002</v>
      </c>
      <c r="EY35" s="418">
        <f>(('پيش بيني هش ريت'!$I$12*('پيش بيني هش ريت'!$I$15+درآمدها!FV$23)^3)+('پيش بيني هش ريت'!$I$13*('پيش بيني هش ريت'!$I$15+درآمدها!FV$23)^2)+('پيش بيني هش ريت'!$I$14*('پيش بيني هش ريت'!$I$15+درآمدها!FV$23)^1))/('تبديل واحد و اعداد ثابت'!$D$19)</f>
        <v>20966.697156096001</v>
      </c>
      <c r="EZ35" s="418">
        <f>(('پيش بيني هش ريت'!$I$12*('پيش بيني هش ريت'!$I$15+درآمدها!FW$23)^3)+('پيش بيني هش ريت'!$I$13*('پيش بيني هش ريت'!$I$15+درآمدها!FW$23)^2)+('پيش بيني هش ريت'!$I$14*('پيش بيني هش ريت'!$I$15+درآمدها!FW$23)^1))/('تبديل واحد و اعداد ثابت'!$D$19)</f>
        <v>21193.102940992001</v>
      </c>
      <c r="FA35" s="418">
        <f>(('پيش بيني هش ريت'!$I$12*('پيش بيني هش ريت'!$I$15+درآمدها!FX$23)^3)+('پيش بيني هش ريت'!$I$13*('پيش بيني هش ريت'!$I$15+درآمدها!FX$23)^2)+('پيش بيني هش ريت'!$I$14*('پيش بيني هش ريت'!$I$15+درآمدها!FX$23)^1))/('تبديل واحد و اعداد ثابت'!$D$19)</f>
        <v>21421.145742000001</v>
      </c>
      <c r="FB35" s="418">
        <f>(('پيش بيني هش ريت'!$I$12*('پيش بيني هش ريت'!$I$15+درآمدها!FY$23)^3)+('پيش بيني هش ريت'!$I$13*('پيش بيني هش ريت'!$I$15+درآمدها!FY$23)^2)+('پيش بيني هش ريت'!$I$14*('پيش بيني هش ريت'!$I$15+درآمدها!FY$23)^1))/('تبديل واحد و اعداد ثابت'!$D$19)</f>
        <v>21650.831497128002</v>
      </c>
      <c r="FC35" s="418">
        <f>(('پيش بيني هش ريت'!$I$12*('پيش بيني هش ريت'!$I$15+درآمدها!FZ$23)^3)+('پيش بيني هش ريت'!$I$13*('پيش بيني هش ريت'!$I$15+درآمدها!FZ$23)^2)+('پيش بيني هش ريت'!$I$14*('پيش بيني هش ريت'!$I$15+درآمدها!FZ$23)^1))/('تبديل واحد و اعداد ثابت'!$D$19)</f>
        <v>21882.166144384002</v>
      </c>
      <c r="FD35" s="418">
        <f>(('پيش بيني هش ريت'!$I$12*('پيش بيني هش ريت'!$I$15+درآمدها!GA$23)^3)+('پيش بيني هش ريت'!$I$13*('پيش بيني هش ريت'!$I$15+درآمدها!GA$23)^2)+('پيش بيني هش ريت'!$I$14*('پيش بيني هش ريت'!$I$15+درآمدها!GA$23)^1))/('تبديل واحد و اعداد ثابت'!$D$19)</f>
        <v>22115.155621776001</v>
      </c>
      <c r="FE35" s="418">
        <f>(('پيش بيني هش ريت'!$I$12*('پيش بيني هش ريت'!$I$15+درآمدها!GB$23)^3)+('پيش بيني هش ريت'!$I$13*('پيش بيني هش ريت'!$I$15+درآمدها!GB$23)^2)+('پيش بيني هش ريت'!$I$14*('پيش بيني هش ريت'!$I$15+درآمدها!GB$23)^1))/('تبديل واحد و اعداد ثابت'!$D$19)</f>
        <v>22349.805867311996</v>
      </c>
      <c r="FF35" s="418">
        <f>(('پيش بيني هش ريت'!$I$12*('پيش بيني هش ريت'!$I$15+درآمدها!GC$23)^3)+('پيش بيني هش ريت'!$I$13*('پيش بيني هش ريت'!$I$15+درآمدها!GC$23)^2)+('پيش بيني هش ريت'!$I$14*('پيش بيني هش ريت'!$I$15+درآمدها!GC$23)^1))/('تبديل واحد و اعداد ثابت'!$D$19)</f>
        <v>22586.122819</v>
      </c>
      <c r="FG35" s="418">
        <f>(('پيش بيني هش ريت'!$I$12*('پيش بيني هش ريت'!$I$15+درآمدها!GD$23)^3)+('پيش بيني هش ريت'!$I$13*('پيش بيني هش ريت'!$I$15+درآمدها!GD$23)^2)+('پيش بيني هش ريت'!$I$14*('پيش بيني هش ريت'!$I$15+درآمدها!GD$23)^1))/('تبديل واحد و اعداد ثابت'!$D$19)</f>
        <v>22824.112414848001</v>
      </c>
      <c r="FH35" s="418">
        <f>(('پيش بيني هش ريت'!$I$12*('پيش بيني هش ريت'!$I$15+درآمدها!GE$23)^3)+('پيش بيني هش ريت'!$I$13*('پيش بيني هش ريت'!$I$15+درآمدها!GE$23)^2)+('پيش بيني هش ريت'!$I$14*('پيش بيني هش ريت'!$I$15+درآمدها!GE$23)^1))/('تبديل واحد و اعداد ثابت'!$D$19)</f>
        <v>23063.780592864001</v>
      </c>
      <c r="FI35" s="418">
        <f>(('پيش بيني هش ريت'!$I$12*('پيش بيني هش ريت'!$I$15+درآمدها!GF$23)^3)+('پيش بيني هش ريت'!$I$13*('پيش بيني هش ريت'!$I$15+درآمدها!GF$23)^2)+('پيش بيني هش ريت'!$I$14*('پيش بيني هش ريت'!$I$15+درآمدها!GF$23)^1))/('تبديل واحد و اعداد ثابت'!$D$19)</f>
        <v>23305.133291056001</v>
      </c>
      <c r="FJ35" s="418">
        <f>(('پيش بيني هش ريت'!$I$12*('پيش بيني هش ريت'!$I$15+درآمدها!GG$23)^3)+('پيش بيني هش ريت'!$I$13*('پيش بيني هش ريت'!$I$15+درآمدها!GG$23)^2)+('پيش بيني هش ريت'!$I$14*('پيش بيني هش ريت'!$I$15+درآمدها!GG$23)^1))/('تبديل واحد و اعداد ثابت'!$D$19)</f>
        <v>23548.176447431997</v>
      </c>
      <c r="FK35" s="418">
        <f>(('پيش بيني هش ريت'!$I$12*('پيش بيني هش ريت'!$I$15+درآمدها!GH$23)^3)+('پيش بيني هش ريت'!$I$13*('پيش بيني هش ريت'!$I$15+درآمدها!GH$23)^2)+('پيش بيني هش ريت'!$I$14*('پيش بيني هش ريت'!$I$15+درآمدها!GH$23)^1))/('تبديل واحد و اعداد ثابت'!$D$19)</f>
        <v>23792.916000000001</v>
      </c>
      <c r="FL35" s="418">
        <f>(('پيش بيني هش ريت'!$I$12*('پيش بيني هش ريت'!$I$15+درآمدها!GI$23)^3)+('پيش بيني هش ريت'!$I$13*('پيش بيني هش ريت'!$I$15+درآمدها!GI$23)^2)+('پيش بيني هش ريت'!$I$14*('پيش بيني هش ريت'!$I$15+درآمدها!GI$23)^1))/('تبديل واحد و اعداد ثابت'!$D$19)</f>
        <v>24039.357886768001</v>
      </c>
      <c r="FM35" s="418">
        <f>(('پيش بيني هش ريت'!$I$12*('پيش بيني هش ريت'!$I$15+درآمدها!GJ$23)^3)+('پيش بيني هش ريت'!$I$13*('پيش بيني هش ريت'!$I$15+درآمدها!GJ$23)^2)+('پيش بيني هش ريت'!$I$14*('پيش بيني هش ريت'!$I$15+درآمدها!GJ$23)^1))/('تبديل واحد و اعداد ثابت'!$D$19)</f>
        <v>24287.508045744002</v>
      </c>
      <c r="FN35" s="418">
        <f>(('پيش بيني هش ريت'!$I$12*('پيش بيني هش ريت'!$I$15+درآمدها!GK$23)^3)+('پيش بيني هش ريت'!$I$13*('پيش بيني هش ريت'!$I$15+درآمدها!GK$23)^2)+('پيش بيني هش ريت'!$I$14*('پيش بيني هش ريت'!$I$15+درآمدها!GK$23)^1))/('تبديل واحد و اعداد ثابت'!$D$19)</f>
        <v>24537.372414936002</v>
      </c>
      <c r="FO35" s="418">
        <f>(('پيش بيني هش ريت'!$I$12*('پيش بيني هش ريت'!$I$15+درآمدها!GL$23)^3)+('پيش بيني هش ريت'!$I$13*('پيش بيني هش ريت'!$I$15+درآمدها!GL$23)^2)+('پيش بيني هش ريت'!$I$14*('پيش بيني هش ريت'!$I$15+درآمدها!GL$23)^1))/('تبديل واحد و اعداد ثابت'!$D$19)</f>
        <v>24788.956932352001</v>
      </c>
      <c r="FP35" s="418">
        <f>(('پيش بيني هش ريت'!$I$12*('پيش بيني هش ريت'!$I$15+درآمدها!GM$23)^3)+('پيش بيني هش ريت'!$I$13*('پيش بيني هش ريت'!$I$15+درآمدها!GM$23)^2)+('پيش بيني هش ريت'!$I$14*('پيش بيني هش ريت'!$I$15+درآمدها!GM$23)^1))/('تبديل واحد و اعداد ثابت'!$D$19)</f>
        <v>25042.267535999996</v>
      </c>
    </row>
    <row r="36" spans="2:172" hidden="1" x14ac:dyDescent="0.75"/>
  </sheetData>
  <mergeCells count="81">
    <mergeCell ref="B15:B17"/>
    <mergeCell ref="B5:B7"/>
    <mergeCell ref="CV22:DG22"/>
    <mergeCell ref="AA26:AA28"/>
    <mergeCell ref="Z26:Z28"/>
    <mergeCell ref="Y26:Y28"/>
    <mergeCell ref="X26:X28"/>
    <mergeCell ref="W26:W28"/>
    <mergeCell ref="D26:D28"/>
    <mergeCell ref="V26:V28"/>
    <mergeCell ref="E26:E28"/>
    <mergeCell ref="F26:F28"/>
    <mergeCell ref="G26:G28"/>
    <mergeCell ref="H26:H28"/>
    <mergeCell ref="I26:I28"/>
    <mergeCell ref="FD22:FO22"/>
    <mergeCell ref="K26:K28"/>
    <mergeCell ref="L26:L28"/>
    <mergeCell ref="M26:M28"/>
    <mergeCell ref="S26:S28"/>
    <mergeCell ref="T26:T28"/>
    <mergeCell ref="B20:B23"/>
    <mergeCell ref="U26:U28"/>
    <mergeCell ref="ER21:GM21"/>
    <mergeCell ref="BX20:GM20"/>
    <mergeCell ref="AB20:BW20"/>
    <mergeCell ref="CV21:EQ21"/>
    <mergeCell ref="AZ21:CU21"/>
    <mergeCell ref="D21:AY21"/>
    <mergeCell ref="P20:AA20"/>
    <mergeCell ref="AB22:AM22"/>
    <mergeCell ref="FP22:GA22"/>
    <mergeCell ref="GB22:GM22"/>
    <mergeCell ref="DH22:DS22"/>
    <mergeCell ref="DT22:EE22"/>
    <mergeCell ref="EF22:EQ22"/>
    <mergeCell ref="ER22:FC22"/>
    <mergeCell ref="B11:B14"/>
    <mergeCell ref="E11:H11"/>
    <mergeCell ref="I11:R11"/>
    <mergeCell ref="G12:J12"/>
    <mergeCell ref="K12:N12"/>
    <mergeCell ref="O12:R12"/>
    <mergeCell ref="AC33:AN33"/>
    <mergeCell ref="D12:F12"/>
    <mergeCell ref="P22:AA22"/>
    <mergeCell ref="D22:O22"/>
    <mergeCell ref="D20:O20"/>
    <mergeCell ref="J26:J28"/>
    <mergeCell ref="CJ22:CU22"/>
    <mergeCell ref="B31:B34"/>
    <mergeCell ref="E31:AA31"/>
    <mergeCell ref="E33:P33"/>
    <mergeCell ref="Q33:AB33"/>
    <mergeCell ref="AN22:AY22"/>
    <mergeCell ref="N26:N28"/>
    <mergeCell ref="O26:O28"/>
    <mergeCell ref="P26:P28"/>
    <mergeCell ref="Q26:Q28"/>
    <mergeCell ref="R26:R28"/>
    <mergeCell ref="AB31:FP31"/>
    <mergeCell ref="E32:AA32"/>
    <mergeCell ref="AB32:BX32"/>
    <mergeCell ref="BY32:DT32"/>
    <mergeCell ref="DU32:FP32"/>
    <mergeCell ref="B2:C2"/>
    <mergeCell ref="B3:B4"/>
    <mergeCell ref="FE33:FP33"/>
    <mergeCell ref="CK33:CV33"/>
    <mergeCell ref="CW33:DH33"/>
    <mergeCell ref="DI33:DT33"/>
    <mergeCell ref="DU33:EF33"/>
    <mergeCell ref="EG33:ER33"/>
    <mergeCell ref="AO33:AZ33"/>
    <mergeCell ref="BA33:BL33"/>
    <mergeCell ref="BM33:BX33"/>
    <mergeCell ref="BY33:CJ33"/>
    <mergeCell ref="ES33:FD33"/>
    <mergeCell ref="AZ22:BK22"/>
    <mergeCell ref="BL22:BW22"/>
    <mergeCell ref="BX22:CI22"/>
  </mergeCells>
  <phoneticPr fontId="9" type="noConversion"/>
  <pageMargins left="0.25" right="0.25" top="0.75" bottom="0.75" header="0.3" footer="0.3"/>
  <pageSetup paperSize="9" scale="94" orientation="landscape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B1:R24"/>
  <sheetViews>
    <sheetView rightToLeft="1" zoomScaleNormal="100" workbookViewId="0">
      <selection activeCell="C27" sqref="C27"/>
    </sheetView>
  </sheetViews>
  <sheetFormatPr defaultColWidth="9" defaultRowHeight="15.45" x14ac:dyDescent="0.65"/>
  <cols>
    <col min="1" max="1" width="1.921875" style="25" customWidth="1"/>
    <col min="2" max="2" width="9" style="25"/>
    <col min="3" max="3" width="33.53515625" style="25" bestFit="1" customWidth="1"/>
    <col min="4" max="4" width="9.53515625" style="25" bestFit="1" customWidth="1"/>
    <col min="5" max="5" width="9.61328125" style="25" bestFit="1" customWidth="1"/>
    <col min="6" max="7" width="10" style="25" bestFit="1" customWidth="1"/>
    <col min="8" max="8" width="9.84375" style="25" bestFit="1" customWidth="1"/>
    <col min="9" max="9" width="9.4609375" style="25" bestFit="1" customWidth="1"/>
    <col min="10" max="10" width="9.23046875" style="25" bestFit="1" customWidth="1"/>
    <col min="11" max="11" width="9.84375" style="25" bestFit="1" customWidth="1"/>
    <col min="12" max="12" width="9.3828125" style="25" bestFit="1" customWidth="1"/>
    <col min="13" max="13" width="10" style="25" bestFit="1" customWidth="1"/>
    <col min="14" max="14" width="9.765625" style="25" bestFit="1" customWidth="1"/>
    <col min="15" max="15" width="9.61328125" style="25" bestFit="1" customWidth="1"/>
    <col min="16" max="16" width="9.15234375" style="25" bestFit="1" customWidth="1"/>
    <col min="17" max="17" width="9.69140625" style="25" bestFit="1" customWidth="1"/>
    <col min="18" max="18" width="9.3046875" style="25" bestFit="1" customWidth="1"/>
    <col min="19" max="16384" width="9" style="25"/>
  </cols>
  <sheetData>
    <row r="1" spans="2:18" ht="15.9" thickBot="1" x14ac:dyDescent="0.7"/>
    <row r="2" spans="2:18" ht="26.15" thickBot="1" x14ac:dyDescent="1.1499999999999999">
      <c r="B2" s="767" t="s">
        <v>32</v>
      </c>
      <c r="C2" s="768"/>
    </row>
    <row r="3" spans="2:18" ht="19.75" x14ac:dyDescent="0.65">
      <c r="B3" s="672" t="s">
        <v>24</v>
      </c>
      <c r="C3" s="192" t="s">
        <v>3</v>
      </c>
      <c r="D3" s="192" t="s">
        <v>214</v>
      </c>
      <c r="E3" s="674" t="str">
        <f>'داده‌های ورودی'!$B$7</f>
        <v>دوره بهره‌برداري اول</v>
      </c>
      <c r="F3" s="674"/>
      <c r="G3" s="674"/>
      <c r="H3" s="674"/>
      <c r="I3" s="674" t="str">
        <f>'داده‌های ورودی'!$B$8</f>
        <v>دوره بهره‌برداري دوم</v>
      </c>
      <c r="J3" s="674"/>
      <c r="K3" s="674"/>
      <c r="L3" s="674"/>
      <c r="M3" s="674"/>
      <c r="N3" s="674"/>
      <c r="O3" s="674"/>
      <c r="P3" s="674"/>
      <c r="Q3" s="674"/>
      <c r="R3" s="773"/>
    </row>
    <row r="4" spans="2:18" ht="19.75" x14ac:dyDescent="0.65">
      <c r="B4" s="673"/>
      <c r="C4" s="193" t="s">
        <v>414</v>
      </c>
      <c r="D4" s="193">
        <v>1406</v>
      </c>
      <c r="E4" s="209">
        <f>D4+1</f>
        <v>1407</v>
      </c>
      <c r="F4" s="209">
        <f t="shared" ref="F4:R4" si="0">E4+1</f>
        <v>1408</v>
      </c>
      <c r="G4" s="209">
        <f t="shared" si="0"/>
        <v>1409</v>
      </c>
      <c r="H4" s="209">
        <f t="shared" si="0"/>
        <v>1410</v>
      </c>
      <c r="I4" s="209">
        <f t="shared" si="0"/>
        <v>1411</v>
      </c>
      <c r="J4" s="209">
        <f t="shared" si="0"/>
        <v>1412</v>
      </c>
      <c r="K4" s="209">
        <f t="shared" si="0"/>
        <v>1413</v>
      </c>
      <c r="L4" s="209">
        <f t="shared" si="0"/>
        <v>1414</v>
      </c>
      <c r="M4" s="209">
        <f t="shared" si="0"/>
        <v>1415</v>
      </c>
      <c r="N4" s="209">
        <f t="shared" si="0"/>
        <v>1416</v>
      </c>
      <c r="O4" s="209">
        <f t="shared" si="0"/>
        <v>1417</v>
      </c>
      <c r="P4" s="209">
        <f t="shared" si="0"/>
        <v>1418</v>
      </c>
      <c r="Q4" s="209">
        <f t="shared" si="0"/>
        <v>1419</v>
      </c>
      <c r="R4" s="210">
        <f t="shared" si="0"/>
        <v>1420</v>
      </c>
    </row>
    <row r="5" spans="2:18" ht="19.75" x14ac:dyDescent="0.65">
      <c r="B5" s="673"/>
      <c r="C5" s="193" t="s">
        <v>415</v>
      </c>
      <c r="D5" s="193">
        <v>0</v>
      </c>
      <c r="E5" s="209">
        <v>1</v>
      </c>
      <c r="F5" s="209">
        <f>+E5+1</f>
        <v>2</v>
      </c>
      <c r="G5" s="209">
        <f t="shared" ref="G5:R5" si="1">+F5+1</f>
        <v>3</v>
      </c>
      <c r="H5" s="209">
        <f t="shared" si="1"/>
        <v>4</v>
      </c>
      <c r="I5" s="209">
        <f t="shared" si="1"/>
        <v>5</v>
      </c>
      <c r="J5" s="209">
        <f t="shared" si="1"/>
        <v>6</v>
      </c>
      <c r="K5" s="209">
        <f t="shared" si="1"/>
        <v>7</v>
      </c>
      <c r="L5" s="209">
        <f t="shared" si="1"/>
        <v>8</v>
      </c>
      <c r="M5" s="209">
        <f t="shared" si="1"/>
        <v>9</v>
      </c>
      <c r="N5" s="209">
        <f t="shared" si="1"/>
        <v>10</v>
      </c>
      <c r="O5" s="209">
        <f t="shared" si="1"/>
        <v>11</v>
      </c>
      <c r="P5" s="209">
        <f t="shared" si="1"/>
        <v>12</v>
      </c>
      <c r="Q5" s="209">
        <f t="shared" si="1"/>
        <v>13</v>
      </c>
      <c r="R5" s="210">
        <f t="shared" si="1"/>
        <v>14</v>
      </c>
    </row>
    <row r="6" spans="2:18" ht="18.45" x14ac:dyDescent="0.75">
      <c r="B6" s="208">
        <v>1</v>
      </c>
      <c r="C6" s="205" t="s">
        <v>544</v>
      </c>
      <c r="D6" s="88">
        <f>'مواد مصرفی'!$D$3*میلیون*('داده هاي اقتصاد كلان'!$D$20+1)^D$5*دلار+'مواد مصرفی'!$D$8*('داده هاي اقتصاد كلان'!$D$19+1)^D$5</f>
        <v>2195.947780364726</v>
      </c>
      <c r="E6" s="88">
        <f>('مواد مصرفی'!$D$4*میلیون*('داده هاي اقتصاد كلان'!$D$20+1)^E$5*دلار+('مواد مصرفی'!$D$9*('داده هاي اقتصاد كلان'!$D$19+1)^E$5))*'برآوردهاي پايه'!D5</f>
        <v>844.20722752828965</v>
      </c>
      <c r="F6" s="88">
        <f>('مواد مصرفی'!$D$4*میلیون*('داده هاي اقتصاد كلان'!$D$20+1)^F$5*دلار+('مواد مصرفی'!$D$9*('داده هاي اقتصاد كلان'!$D$19+1)^F$5))*'برآوردهاي پايه'!E5</f>
        <v>861.43594645743849</v>
      </c>
      <c r="G6" s="88">
        <f>('مواد مصرفی'!$D$4*میلیون*('داده هاي اقتصاد كلان'!$D$20+1)^G$5*دلار+('مواد مصرفی'!$D$9*('داده هاي اقتصاد كلان'!$D$19+1)^G$5))*'برآوردهاي پايه'!F5</f>
        <v>852.82158699286413</v>
      </c>
      <c r="H6" s="88">
        <f>('مواد مصرفی'!$D$4*میلیون*('داده هاي اقتصاد كلان'!$D$20+1)^H$5*دلار+('مواد مصرفی'!$D$9*('داده هاي اقتصاد كلان'!$D$19+1)^H$5))*'برآوردهاي پايه'!G5</f>
        <v>844.20722752828965</v>
      </c>
      <c r="I6" s="88">
        <f>('مواد مصرفی'!$D$4*میلیون*('داده هاي اقتصاد كلان'!$D$20+1)^I$5*دلار+('مواد مصرفی'!$D$9*('داده هاي اقتصاد كلان'!$D$19+1)^I$5))*'برآوردهاي پايه'!H5</f>
        <v>835.59286806371529</v>
      </c>
      <c r="J6" s="88">
        <f>('مواد مصرفی'!$D$4*میلیون*('داده هاي اقتصاد كلان'!$D$20+1)^J$5*دلار+('مواد مصرفی'!$D$9*('داده هاي اقتصاد كلان'!$D$19+1)^J$5))*'برآوردهاي پايه'!I5</f>
        <v>826.97850859914092</v>
      </c>
      <c r="K6" s="88">
        <f>('مواد مصرفی'!$D$4*میلیون*('داده هاي اقتصاد كلان'!$D$20+1)^K$5*دلار+('مواد مصرفی'!$D$9*('داده هاي اقتصاد كلان'!$D$19+1)^K$5))*'برآوردهاي پايه'!J5</f>
        <v>818.36414913456656</v>
      </c>
      <c r="L6" s="88">
        <f>('مواد مصرفی'!$D$4*میلیون*('داده هاي اقتصاد كلان'!$D$20+1)^L$5*دلار+('مواد مصرفی'!$D$9*('داده هاي اقتصاد كلان'!$D$19+1)^L$5))*'برآوردهاي پايه'!K5</f>
        <v>809.74978966999208</v>
      </c>
      <c r="M6" s="88">
        <f>('مواد مصرفی'!$D$4*میلیون*('داده هاي اقتصاد كلان'!$D$20+1)^M$5*دلار+('مواد مصرفی'!$D$9*('داده هاي اقتصاد كلان'!$D$19+1)^M$5))*'برآوردهاي پايه'!L5</f>
        <v>801.13543020541783</v>
      </c>
      <c r="N6" s="88">
        <f>('مواد مصرفی'!$D$4*میلیون*('داده هاي اقتصاد كلان'!$D$20+1)^N$5*دلار+('مواد مصرفی'!$D$9*('داده هاي اقتصاد كلان'!$D$19+1)^N$5))*'برآوردهاي پايه'!M5</f>
        <v>792.52107074084347</v>
      </c>
      <c r="O6" s="88">
        <f>('مواد مصرفی'!$D$4*میلیون*('داده هاي اقتصاد كلان'!$D$20+1)^O$5*دلار+('مواد مصرفی'!$D$9*('داده هاي اقتصاد كلان'!$D$19+1)^O$5))*'برآوردهاي پايه'!N5</f>
        <v>783.90671127626911</v>
      </c>
      <c r="P6" s="88">
        <f>('مواد مصرفی'!$D$4*میلیون*('داده هاي اقتصاد كلان'!$D$20+1)^P$5*دلار+('مواد مصرفی'!$D$9*('داده هاي اقتصاد كلان'!$D$19+1)^P$5))*'برآوردهاي پايه'!O5</f>
        <v>775.29235181169463</v>
      </c>
      <c r="Q6" s="88">
        <f>('مواد مصرفی'!$D$4*میلیون*('داده هاي اقتصاد كلان'!$D$20+1)^Q$5*دلار+('مواد مصرفی'!$D$9*('داده هاي اقتصاد كلان'!$D$19+1)^Q$5))*'برآوردهاي پايه'!P5</f>
        <v>766.67799234712027</v>
      </c>
      <c r="R6" s="131">
        <f>('مواد مصرفی'!$D$4*میلیون*('داده هاي اقتصاد كلان'!$D$20+1)^R$5*دلار+('مواد مصرفی'!$D$9*('داده هاي اقتصاد كلان'!$D$19+1)^R$5))*'برآوردهاي پايه'!Q5</f>
        <v>758.0636328825459</v>
      </c>
    </row>
    <row r="7" spans="2:18" ht="18.45" x14ac:dyDescent="0.75">
      <c r="B7" s="208">
        <f>B6+1</f>
        <v>2</v>
      </c>
      <c r="C7" s="205" t="s">
        <v>399</v>
      </c>
      <c r="D7" s="88">
        <f>('گاز و يوتيليتي'!$C$3*میلیون*('داده هاي اقتصاد كلان'!$D$20+1)^D$5*دلار+'گاز و يوتيليتي'!$C$6*('داده هاي اقتصاد كلان'!$D$19+1)^D$5)*'برآوردهاي پايه'!C5</f>
        <v>0</v>
      </c>
      <c r="E7" s="88">
        <f>('گاز و يوتيليتي'!$C$3*میلیون*('داده هاي اقتصاد كلان'!$D$20+1)^E$5*دلار+'گاز و يوتيليتي'!$C$6*('داده هاي اقتصاد كلان'!$D$19+1)^E$5)*'برآوردهاي پايه'!D5</f>
        <v>38381.099803098237</v>
      </c>
      <c r="F7" s="88">
        <f>('گاز و يوتيليتي'!$C$3*میلیون*('داده هاي اقتصاد كلان'!$D$20+1)^F$5*دلار+'گاز و يوتيليتي'!$C$6*('داده هاي اقتصاد كلان'!$D$19+1)^F$5)*'برآوردهاي پايه'!E5</f>
        <v>39164.387554181878</v>
      </c>
      <c r="G7" s="88">
        <f>('گاز و يوتيليتي'!$C$3*میلیون*('داده هاي اقتصاد كلان'!$D$20+1)^G$5*دلار+'گاز و يوتيليتي'!$C$6*('داده هاي اقتصاد كلان'!$D$19+1)^G$5)*'برآوردهاي پايه'!F5</f>
        <v>38772.743678640058</v>
      </c>
      <c r="H7" s="88">
        <f>('گاز و يوتيليتي'!$C$3*میلیون*('داده هاي اقتصاد كلان'!$D$20+1)^H$5*دلار+'گاز و يوتيليتي'!$C$6*('داده هاي اقتصاد كلان'!$D$19+1)^H$5)*'برآوردهاي پايه'!G5</f>
        <v>38381.099803098237</v>
      </c>
      <c r="I7" s="88">
        <f>('گاز و يوتيليتي'!$C$3*میلیون*('داده هاي اقتصاد كلان'!$D$20+1)^I$5*دلار+'گاز و يوتيليتي'!$C$6*('داده هاي اقتصاد كلان'!$D$19+1)^I$5)*'برآوردهاي پايه'!H5</f>
        <v>37989.455927556417</v>
      </c>
      <c r="J7" s="88">
        <f>('گاز و يوتيليتي'!$C$3*میلیون*('داده هاي اقتصاد كلان'!$D$20+1)^J$5*دلار+'گاز و يوتيليتي'!$C$6*('داده هاي اقتصاد كلان'!$D$19+1)^J$5)*'برآوردهاي پايه'!I5</f>
        <v>37597.812052014604</v>
      </c>
      <c r="K7" s="88">
        <f>('گاز و يوتيليتي'!$C$3*میلیون*('داده هاي اقتصاد كلان'!$D$20+1)^K$5*دلار+'گاز و يوتيليتي'!$C$6*('داده هاي اقتصاد كلان'!$D$19+1)^K$5)*'برآوردهاي پايه'!J5</f>
        <v>37206.168176472784</v>
      </c>
      <c r="L7" s="88">
        <f>('گاز و يوتيليتي'!$C$3*میلیون*('داده هاي اقتصاد كلان'!$D$20+1)^L$5*دلار+'گاز و يوتيليتي'!$C$6*('داده هاي اقتصاد كلان'!$D$19+1)^L$5)*'برآوردهاي پايه'!K5</f>
        <v>36814.524300930963</v>
      </c>
      <c r="M7" s="88">
        <f>('گاز و يوتيليتي'!$C$3*میلیون*('داده هاي اقتصاد كلان'!$D$20+1)^M$5*دلار+'گاز و يوتيليتي'!$C$6*('داده هاي اقتصاد كلان'!$D$19+1)^M$5)*'برآوردهاي پايه'!L5</f>
        <v>36422.88042538915</v>
      </c>
      <c r="N7" s="88">
        <f>('گاز و يوتيليتي'!$C$3*میلیون*('داده هاي اقتصاد كلان'!$D$20+1)^N$5*دلار+'گاز و يوتيليتي'!$C$6*('داده هاي اقتصاد كلان'!$D$19+1)^N$5)*'برآوردهاي پايه'!M5</f>
        <v>36031.23654984733</v>
      </c>
      <c r="O7" s="88">
        <f>('گاز و يوتيليتي'!$C$3*میلیون*('داده هاي اقتصاد كلان'!$D$20+1)^O$5*دلار+'گاز و يوتيليتي'!$C$6*('داده هاي اقتصاد كلان'!$D$19+1)^O$5)*'برآوردهاي پايه'!N5</f>
        <v>35639.59267430551</v>
      </c>
      <c r="P7" s="88">
        <f>('گاز و يوتيليتي'!$C$3*میلیون*('داده هاي اقتصاد كلان'!$D$20+1)^P$5*دلار+'گاز و يوتيليتي'!$C$6*('داده هاي اقتصاد كلان'!$D$19+1)^P$5)*'برآوردهاي پايه'!O5</f>
        <v>35247.948798763689</v>
      </c>
      <c r="Q7" s="88">
        <f>('گاز و يوتيليتي'!$C$3*میلیون*('داده هاي اقتصاد كلان'!$D$20+1)^Q$5*دلار+'گاز و يوتيليتي'!$C$6*('داده هاي اقتصاد كلان'!$D$19+1)^Q$5)*'برآوردهاي پايه'!P5</f>
        <v>34856.304923221869</v>
      </c>
      <c r="R7" s="131">
        <f>('گاز و يوتيليتي'!$C$3*میلیون*('داده هاي اقتصاد كلان'!$D$20+1)^R$5*دلار+'گاز و يوتيليتي'!$C$6*('داده هاي اقتصاد كلان'!$D$19+1)^R$5)*'برآوردهاي پايه'!Q5</f>
        <v>34464.661047680056</v>
      </c>
    </row>
    <row r="8" spans="2:18" ht="18.45" x14ac:dyDescent="0.75">
      <c r="B8" s="208">
        <f>B7+1</f>
        <v>3</v>
      </c>
      <c r="C8" s="205" t="s">
        <v>31</v>
      </c>
      <c r="D8" s="88">
        <f>تعميرات!$G$13*'برآوردهاي پايه'!C5*('داده هاي اقتصاد كلان'!$D$19+1)^D$5</f>
        <v>0</v>
      </c>
      <c r="E8" s="88">
        <f>تعميرات!$G$13*'برآوردهاي پايه'!D5*('داده هاي اقتصاد كلان'!$D$19+1)^E$5</f>
        <v>90457.651743507304</v>
      </c>
      <c r="F8" s="88">
        <f>تعميرات!$G$13*'برآوردهاي پايه'!E5*('داده هاي اقتصاد كلان'!$D$19+1)^F$5</f>
        <v>92303.726268885002</v>
      </c>
      <c r="G8" s="88">
        <f>تعميرات!$G$13*'برآوردهاي پايه'!F5*('داده هاي اقتصاد كلان'!$D$19+1)^G$5</f>
        <v>91380.689006196146</v>
      </c>
      <c r="H8" s="88">
        <f>تعميرات!$G$13*'برآوردهاي پايه'!G5*('داده هاي اقتصاد كلان'!$D$19+1)^H$5</f>
        <v>90457.651743507304</v>
      </c>
      <c r="I8" s="88">
        <f>تعميرات!$G$13*'برآوردهاي پايه'!H5*('داده هاي اقتصاد كلان'!$D$19+1)^I$5</f>
        <v>89534.614480818447</v>
      </c>
      <c r="J8" s="88">
        <f>تعميرات!$G$13*'برآوردهاي پايه'!I5*('داده هاي اقتصاد كلان'!$D$19+1)^J$5</f>
        <v>88611.577218129605</v>
      </c>
      <c r="K8" s="88">
        <f>تعميرات!$G$13*'برآوردهاي پايه'!J5*('داده هاي اقتصاد كلان'!$D$19+1)^K$5</f>
        <v>87688.539955440749</v>
      </c>
      <c r="L8" s="88">
        <f>تعميرات!$G$13*'برآوردهاي پايه'!K5*('داده هاي اقتصاد كلان'!$D$19+1)^L$5</f>
        <v>86765.502692751892</v>
      </c>
      <c r="M8" s="88">
        <f>تعميرات!$G$13*'برآوردهاي پايه'!L5*('داده هاي اقتصاد كلان'!$D$19+1)^M$5</f>
        <v>85842.46543006305</v>
      </c>
      <c r="N8" s="88">
        <f>تعميرات!$G$13*'برآوردهاي پايه'!M5*('داده هاي اقتصاد كلان'!$D$19+1)^N$5</f>
        <v>84919.428167374208</v>
      </c>
      <c r="O8" s="88">
        <f>تعميرات!$G$13*'برآوردهاي پايه'!N5*('داده هاي اقتصاد كلان'!$D$19+1)^O$5</f>
        <v>83996.390904685351</v>
      </c>
      <c r="P8" s="88">
        <f>تعميرات!$G$13*'برآوردهاي پايه'!O5*('داده هاي اقتصاد كلان'!$D$19+1)^P$5</f>
        <v>83073.353641996509</v>
      </c>
      <c r="Q8" s="88">
        <f>تعميرات!$G$13*'برآوردهاي پايه'!P5*('داده هاي اقتصاد كلان'!$D$19+1)^Q$5</f>
        <v>82150.316379307653</v>
      </c>
      <c r="R8" s="131">
        <f>تعميرات!$G$13*'برآوردهاي پايه'!Q5*('داده هاي اقتصاد كلان'!$D$19+1)^R$5</f>
        <v>81227.279116618796</v>
      </c>
    </row>
    <row r="9" spans="2:18" ht="18.45" x14ac:dyDescent="0.75">
      <c r="B9" s="208">
        <f>B8+1</f>
        <v>4</v>
      </c>
      <c r="C9" s="205" t="s">
        <v>545</v>
      </c>
      <c r="D9" s="88">
        <f>'نیروی انسانی'!$C$3*'نیروی انسانی'!$E$46*('داده هاي اقتصاد كلان'!$D$20+1)^D$5*میلیون*دلار</f>
        <v>91950.750836239415</v>
      </c>
      <c r="E9" s="88">
        <f>'نیروی انسانی'!$C$3*'نیروی انسانی'!$E$47*('داده هاي اقتصاد كلان'!$D$20+1)^E$5*میلیون*دلار</f>
        <v>165511.35150523097</v>
      </c>
      <c r="F9" s="88">
        <f>'نیروی انسانی'!$C$3*('داده هاي اقتصاد كلان'!$D$20+1)^E$5*میلیون*دلار</f>
        <v>183901.50167247883</v>
      </c>
      <c r="G9" s="88">
        <f>'نیروی انسانی'!$C$3*('داده هاي اقتصاد كلان'!$D$20+1)^F$5*میلیون*دلار</f>
        <v>183901.50167247883</v>
      </c>
      <c r="H9" s="88">
        <f>'نیروی انسانی'!$C$3*('داده هاي اقتصاد كلان'!$D$20+1)^G$5*میلیون*دلار</f>
        <v>183901.50167247883</v>
      </c>
      <c r="I9" s="88">
        <f>'نیروی انسانی'!$C$3*('داده هاي اقتصاد كلان'!$D$20+1)^H$5*میلیون*دلار</f>
        <v>183901.50167247883</v>
      </c>
      <c r="J9" s="88">
        <f>'نیروی انسانی'!$C$3*('داده هاي اقتصاد كلان'!$D$20+1)^I$5*میلیون*دلار</f>
        <v>183901.50167247883</v>
      </c>
      <c r="K9" s="88">
        <f>'نیروی انسانی'!$C$3*('داده هاي اقتصاد كلان'!$D$20+1)^J$5*میلیون*دلار</f>
        <v>183901.50167247883</v>
      </c>
      <c r="L9" s="88">
        <f>'نیروی انسانی'!$C$3*('داده هاي اقتصاد كلان'!$D$20+1)^K$5*میلیون*دلار</f>
        <v>183901.50167247883</v>
      </c>
      <c r="M9" s="88">
        <f>'نیروی انسانی'!$C$3*('داده هاي اقتصاد كلان'!$D$20+1)^L$5*میلیون*دلار</f>
        <v>183901.50167247883</v>
      </c>
      <c r="N9" s="88">
        <f>'نیروی انسانی'!$C$3*('داده هاي اقتصاد كلان'!$D$20+1)^M$5*میلیون*دلار</f>
        <v>183901.50167247883</v>
      </c>
      <c r="O9" s="88">
        <f>'نیروی انسانی'!$C$3*('داده هاي اقتصاد كلان'!$D$20+1)^N$5*میلیون*دلار</f>
        <v>183901.50167247883</v>
      </c>
      <c r="P9" s="88">
        <f>'نیروی انسانی'!$C$3*('داده هاي اقتصاد كلان'!$D$20+1)^O$5*میلیون*دلار</f>
        <v>183901.50167247883</v>
      </c>
      <c r="Q9" s="88">
        <f>'نیروی انسانی'!$C$3*('داده هاي اقتصاد كلان'!$D$20+1)^P$5*میلیون*دلار</f>
        <v>183901.50167247883</v>
      </c>
      <c r="R9" s="131">
        <f>'نیروی انسانی'!$C$3*('داده هاي اقتصاد كلان'!$D$20+1)^Q$5*میلیون*دلار</f>
        <v>183901.50167247883</v>
      </c>
    </row>
    <row r="10" spans="2:18" ht="18.45" x14ac:dyDescent="0.75">
      <c r="B10" s="208">
        <f>B9+1</f>
        <v>5</v>
      </c>
      <c r="C10" s="205" t="s">
        <v>546</v>
      </c>
      <c r="D10" s="88">
        <f>بیمه!$F$8*('داده هاي اقتصاد كلان'!$D$19+1)^D$5</f>
        <v>39591.647649972685</v>
      </c>
      <c r="E10" s="88">
        <f>بیمه!$F$8*('داده هاي اقتصاد كلان'!$D$19+1)^E$5</f>
        <v>39591.647649972685</v>
      </c>
      <c r="F10" s="88">
        <f>بیمه!$F$8*('داده هاي اقتصاد كلان'!$D$19+1)^F$5</f>
        <v>39591.647649972685</v>
      </c>
      <c r="G10" s="88">
        <f>بیمه!$F$8*('داده هاي اقتصاد كلان'!$D$19+1)^G$5</f>
        <v>39591.647649972685</v>
      </c>
      <c r="H10" s="88">
        <f>بیمه!$F$8*('داده هاي اقتصاد كلان'!$D$19+1)^H$5</f>
        <v>39591.647649972685</v>
      </c>
      <c r="I10" s="88">
        <f>بیمه!$F$8*('داده هاي اقتصاد كلان'!$D$19+1)^I$5</f>
        <v>39591.647649972685</v>
      </c>
      <c r="J10" s="88">
        <f>بیمه!$F$8*('داده هاي اقتصاد كلان'!$D$19+1)^J$5</f>
        <v>39591.647649972685</v>
      </c>
      <c r="K10" s="88">
        <f>بیمه!$F$8*('داده هاي اقتصاد كلان'!$D$19+1)^K$5</f>
        <v>39591.647649972685</v>
      </c>
      <c r="L10" s="88">
        <f>بیمه!$F$8*('داده هاي اقتصاد كلان'!$D$19+1)^L$5</f>
        <v>39591.647649972685</v>
      </c>
      <c r="M10" s="88">
        <f>بیمه!$F$8*('داده هاي اقتصاد كلان'!$D$19+1)^M$5</f>
        <v>39591.647649972685</v>
      </c>
      <c r="N10" s="88">
        <f>بیمه!$F$8*('داده هاي اقتصاد كلان'!$D$19+1)^N$5</f>
        <v>39591.647649972685</v>
      </c>
      <c r="O10" s="88">
        <f>بیمه!$F$8*('داده هاي اقتصاد كلان'!$D$19+1)^O$5</f>
        <v>39591.647649972685</v>
      </c>
      <c r="P10" s="88">
        <f>بیمه!$F$8*('داده هاي اقتصاد كلان'!$D$19+1)^P$5</f>
        <v>39591.647649972685</v>
      </c>
      <c r="Q10" s="88">
        <f>بیمه!$F$8*('داده هاي اقتصاد كلان'!$D$19+1)^Q$5</f>
        <v>39591.647649972685</v>
      </c>
      <c r="R10" s="131">
        <f>بیمه!$F$8*('داده هاي اقتصاد كلان'!$D$19+1)^R$5</f>
        <v>39591.647649972685</v>
      </c>
    </row>
    <row r="11" spans="2:18" ht="18.45" x14ac:dyDescent="0.75">
      <c r="B11" s="208">
        <f t="shared" ref="B11:B13" si="2">B10+1</f>
        <v>6</v>
      </c>
      <c r="C11" s="205" t="s">
        <v>387</v>
      </c>
      <c r="D11" s="88">
        <f>'حمل و نقل'!$E$5*میلیون*('داده هاي اقتصاد كلان'!$D$20+1)^D$5*دلار+'حمل و نقل'!$E$8*('داده هاي اقتصاد كلان'!$D$19+1)^D$5</f>
        <v>1762.2877205825039</v>
      </c>
      <c r="E11" s="88">
        <f>'حمل و نقل'!$E$5*میلیون*('داده هاي اقتصاد كلان'!$D$20+1)^E$5*دلار+'حمل و نقل'!$E$8*('داده هاي اقتصاد كلان'!$D$19+1)^E$5</f>
        <v>1762.2877205825039</v>
      </c>
      <c r="F11" s="88">
        <f>'حمل و نقل'!$E$5*میلیون*('داده هاي اقتصاد كلان'!$D$20+1)^F$5*دلار+'حمل و نقل'!$E$8*('داده هاي اقتصاد كلان'!$D$19+1)^F$5</f>
        <v>1762.2877205825039</v>
      </c>
      <c r="G11" s="88">
        <f>'حمل و نقل'!$E$5*میلیون*('داده هاي اقتصاد كلان'!$D$20+1)^G$5*دلار+'حمل و نقل'!$E$8*('داده هاي اقتصاد كلان'!$D$19+1)^G$5</f>
        <v>1762.2877205825039</v>
      </c>
      <c r="H11" s="88">
        <f>'حمل و نقل'!$E$5*میلیون*('داده هاي اقتصاد كلان'!$D$20+1)^H$5*دلار+'حمل و نقل'!$E$8*('داده هاي اقتصاد كلان'!$D$19+1)^H$5</f>
        <v>1762.2877205825039</v>
      </c>
      <c r="I11" s="88">
        <f>'حمل و نقل'!$E$5*میلیون*('داده هاي اقتصاد كلان'!$D$20+1)^I$5*دلار+'حمل و نقل'!$E$8*('داده هاي اقتصاد كلان'!$D$19+1)^I$5</f>
        <v>1762.2877205825039</v>
      </c>
      <c r="J11" s="88">
        <f>'حمل و نقل'!$E$5*میلیون*('داده هاي اقتصاد كلان'!$D$20+1)^J$5*دلار+'حمل و نقل'!$E$8*('داده هاي اقتصاد كلان'!$D$19+1)^J$5</f>
        <v>1762.2877205825039</v>
      </c>
      <c r="K11" s="88">
        <f>'حمل و نقل'!$E$5*میلیون*('داده هاي اقتصاد كلان'!$D$20+1)^K$5*دلار+'حمل و نقل'!$E$8*('داده هاي اقتصاد كلان'!$D$19+1)^K$5</f>
        <v>1762.2877205825039</v>
      </c>
      <c r="L11" s="88">
        <f>'حمل و نقل'!$E$5*میلیون*('داده هاي اقتصاد كلان'!$D$20+1)^L$5*دلار+'حمل و نقل'!$E$8*('داده هاي اقتصاد كلان'!$D$19+1)^L$5</f>
        <v>1762.2877205825039</v>
      </c>
      <c r="M11" s="88">
        <f>'حمل و نقل'!$E$5*میلیون*('داده هاي اقتصاد كلان'!$D$20+1)^M$5*دلار+'حمل و نقل'!$E$8*('داده هاي اقتصاد كلان'!$D$19+1)^M$5</f>
        <v>1762.2877205825039</v>
      </c>
      <c r="N11" s="88">
        <f>'حمل و نقل'!$E$5*میلیون*('داده هاي اقتصاد كلان'!$D$20+1)^N$5*دلار+'حمل و نقل'!$E$8*('داده هاي اقتصاد كلان'!$D$19+1)^N$5</f>
        <v>1762.2877205825039</v>
      </c>
      <c r="O11" s="88">
        <f>'حمل و نقل'!$E$5*میلیون*('داده هاي اقتصاد كلان'!$D$20+1)^O$5*دلار+'حمل و نقل'!$E$8*('داده هاي اقتصاد كلان'!$D$19+1)^O$5</f>
        <v>1762.2877205825039</v>
      </c>
      <c r="P11" s="88">
        <f>'حمل و نقل'!$E$5*میلیون*('داده هاي اقتصاد كلان'!$D$20+1)^P$5*دلار+'حمل و نقل'!$E$8*('داده هاي اقتصاد كلان'!$D$19+1)^P$5</f>
        <v>1762.2877205825039</v>
      </c>
      <c r="Q11" s="88">
        <f>'حمل و نقل'!$E$5*میلیون*('داده هاي اقتصاد كلان'!$D$20+1)^Q$5*دلار+'حمل و نقل'!$E$8*('داده هاي اقتصاد كلان'!$D$19+1)^Q$5</f>
        <v>1762.2877205825039</v>
      </c>
      <c r="R11" s="131">
        <f>'حمل و نقل'!$E$5*میلیون*('داده هاي اقتصاد كلان'!$D$20+1)^R$5*دلار+'حمل و نقل'!$E$8*('داده هاي اقتصاد كلان'!$D$19+1)^R$5</f>
        <v>1762.2877205825039</v>
      </c>
    </row>
    <row r="12" spans="2:18" ht="18.45" x14ac:dyDescent="0.75">
      <c r="B12" s="208">
        <f t="shared" si="2"/>
        <v>7</v>
      </c>
      <c r="C12" s="205" t="s">
        <v>506</v>
      </c>
      <c r="D12" s="88">
        <f>'زمين و ساختمان'!$C$3*میلیون*(('داده هاي اقتصاد كلان'!$D$20+1)^D$5)*دلار</f>
        <v>43745.770028596875</v>
      </c>
      <c r="E12" s="88">
        <f>'زمين و ساختمان'!$C$3*میلیون*(('داده هاي اقتصاد كلان'!$D$20+1)^E$5)*دلار</f>
        <v>43745.770028596875</v>
      </c>
      <c r="F12" s="88">
        <f>'زمين و ساختمان'!$C$3*میلیون*(('داده هاي اقتصاد كلان'!$D$20+1)^F$5)*دلار</f>
        <v>43745.770028596875</v>
      </c>
      <c r="G12" s="88">
        <f>'زمين و ساختمان'!$C$3*میلیون*(('داده هاي اقتصاد كلان'!$D$20+1)^G$5)*دلار</f>
        <v>43745.770028596875</v>
      </c>
      <c r="H12" s="88">
        <f>'زمين و ساختمان'!$C$3*میلیون*(('داده هاي اقتصاد كلان'!$D$20+1)^H$5)*دلار</f>
        <v>43745.770028596875</v>
      </c>
      <c r="I12" s="88">
        <f>'زمين و ساختمان'!$C$3*میلیون*(('داده هاي اقتصاد كلان'!$D$20+1)^I$5)*دلار</f>
        <v>43745.770028596875</v>
      </c>
      <c r="J12" s="88">
        <f>'زمين و ساختمان'!$C$3*میلیون*(('داده هاي اقتصاد كلان'!$D$20+1)^J$5)*دلار</f>
        <v>43745.770028596875</v>
      </c>
      <c r="K12" s="88">
        <f>'زمين و ساختمان'!$C$3*میلیون*(('داده هاي اقتصاد كلان'!$D$20+1)^K$5)*دلار</f>
        <v>43745.770028596875</v>
      </c>
      <c r="L12" s="88">
        <f>'زمين و ساختمان'!$C$3*میلیون*(('داده هاي اقتصاد كلان'!$D$20+1)^L$5)*دلار</f>
        <v>43745.770028596875</v>
      </c>
      <c r="M12" s="88">
        <f>'زمين و ساختمان'!$C$3*میلیون*(('داده هاي اقتصاد كلان'!$D$20+1)^M$5)*دلار</f>
        <v>43745.770028596875</v>
      </c>
      <c r="N12" s="88">
        <f>'زمين و ساختمان'!$C$3*میلیون*(('داده هاي اقتصاد كلان'!$D$20+1)^N$5)*دلار</f>
        <v>43745.770028596875</v>
      </c>
      <c r="O12" s="88">
        <f>'زمين و ساختمان'!$C$3*میلیون*(('داده هاي اقتصاد كلان'!$D$20+1)^O$5)*دلار</f>
        <v>43745.770028596875</v>
      </c>
      <c r="P12" s="88">
        <f>'زمين و ساختمان'!$C$3*میلیون*(('داده هاي اقتصاد كلان'!$D$20+1)^P$5)*دلار</f>
        <v>43745.770028596875</v>
      </c>
      <c r="Q12" s="88">
        <f>'زمين و ساختمان'!$C$3*میلیون*(('داده هاي اقتصاد كلان'!$D$20+1)^Q$5)*دلار</f>
        <v>43745.770028596875</v>
      </c>
      <c r="R12" s="131">
        <f>'زمين و ساختمان'!$C$3*میلیون*(('داده هاي اقتصاد كلان'!$D$20+1)^R$5)*دلار</f>
        <v>43745.770028596875</v>
      </c>
    </row>
    <row r="13" spans="2:18" ht="18.45" x14ac:dyDescent="0.75">
      <c r="B13" s="208">
        <f t="shared" si="2"/>
        <v>8</v>
      </c>
      <c r="C13" s="205" t="s">
        <v>37</v>
      </c>
      <c r="D13" s="88">
        <f>0.05*SUM(D6:D12)</f>
        <v>8962.3202007878117</v>
      </c>
      <c r="E13" s="88">
        <f>0.05*SUM(E6:E12)</f>
        <v>19014.700783925844</v>
      </c>
      <c r="F13" s="88">
        <f t="shared" ref="F13:Q13" si="3">0.05*SUM(F6:F12)</f>
        <v>20066.537842057762</v>
      </c>
      <c r="G13" s="88">
        <f t="shared" si="3"/>
        <v>20000.373067173001</v>
      </c>
      <c r="H13" s="88">
        <f t="shared" si="3"/>
        <v>19934.20829228824</v>
      </c>
      <c r="I13" s="88">
        <f t="shared" si="3"/>
        <v>19868.043517403476</v>
      </c>
      <c r="J13" s="88">
        <f t="shared" si="3"/>
        <v>19801.878742518715</v>
      </c>
      <c r="K13" s="88">
        <f t="shared" si="3"/>
        <v>19735.71396763395</v>
      </c>
      <c r="L13" s="88">
        <f t="shared" si="3"/>
        <v>19669.549192749189</v>
      </c>
      <c r="M13" s="88">
        <f t="shared" si="3"/>
        <v>19603.384417864429</v>
      </c>
      <c r="N13" s="88">
        <f t="shared" si="3"/>
        <v>19537.219642979664</v>
      </c>
      <c r="O13" s="88">
        <f t="shared" si="3"/>
        <v>19471.0548680949</v>
      </c>
      <c r="P13" s="88">
        <f t="shared" si="3"/>
        <v>19404.890093210139</v>
      </c>
      <c r="Q13" s="88">
        <f t="shared" si="3"/>
        <v>19338.725318325378</v>
      </c>
      <c r="R13" s="131">
        <f>0.05*SUM(R6:R12)</f>
        <v>19272.560543440613</v>
      </c>
    </row>
    <row r="14" spans="2:18" ht="19.75" x14ac:dyDescent="0.85">
      <c r="B14" s="366" t="s">
        <v>32</v>
      </c>
      <c r="C14" s="211"/>
      <c r="D14" s="212">
        <f>SUM(D6:D13)</f>
        <v>188208.72421654401</v>
      </c>
      <c r="E14" s="212">
        <f>SUM(E6:E13)</f>
        <v>399308.71646244271</v>
      </c>
      <c r="F14" s="212">
        <f t="shared" ref="F14:R14" si="4">SUM(F6:F13)</f>
        <v>421397.29468321294</v>
      </c>
      <c r="G14" s="212">
        <f t="shared" si="4"/>
        <v>420007.83441063296</v>
      </c>
      <c r="H14" s="212">
        <f>SUM(H6:H13)</f>
        <v>418618.37413805298</v>
      </c>
      <c r="I14" s="212">
        <f>SUM(I6:I13)</f>
        <v>417228.91386547295</v>
      </c>
      <c r="J14" s="212">
        <f t="shared" si="4"/>
        <v>415839.45359289297</v>
      </c>
      <c r="K14" s="212">
        <f t="shared" si="4"/>
        <v>414449.99332031293</v>
      </c>
      <c r="L14" s="212">
        <f t="shared" si="4"/>
        <v>413060.53304773296</v>
      </c>
      <c r="M14" s="212">
        <f t="shared" si="4"/>
        <v>411671.07277515298</v>
      </c>
      <c r="N14" s="212">
        <f t="shared" si="4"/>
        <v>410281.61250257294</v>
      </c>
      <c r="O14" s="212">
        <f t="shared" si="4"/>
        <v>408892.15222999291</v>
      </c>
      <c r="P14" s="212">
        <f t="shared" si="4"/>
        <v>407502.69195741293</v>
      </c>
      <c r="Q14" s="212">
        <f t="shared" si="4"/>
        <v>406113.23168483295</v>
      </c>
      <c r="R14" s="213">
        <f t="shared" si="4"/>
        <v>404723.77141225291</v>
      </c>
    </row>
    <row r="15" spans="2:18" ht="18.45" x14ac:dyDescent="0.75">
      <c r="B15" s="208">
        <f>B13+1</f>
        <v>9</v>
      </c>
      <c r="C15" s="205" t="s">
        <v>5947</v>
      </c>
      <c r="D15" s="88">
        <f>(('نیروی انسانی'!$C$4+' زيرساخت اداري'!$C$3)*(('داده هاي اقتصاد كلان'!$D$20+1)^D$5))*میلیون*دلار</f>
        <v>83015.091099924917</v>
      </c>
      <c r="E15" s="88">
        <f>(('نیروی انسانی'!$C$4+' زيرساخت اداري'!$C$3)*(('داده هاي اقتصاد كلان'!$D$20+1)^E$5))*میلیون*دلار</f>
        <v>83015.091099924917</v>
      </c>
      <c r="F15" s="88">
        <f>(('نیروی انسانی'!$C$4+' زيرساخت اداري'!$C$3)*(('داده هاي اقتصاد كلان'!$D$20+1)^F$5))*میلیون*دلار</f>
        <v>83015.091099924917</v>
      </c>
      <c r="G15" s="88">
        <f>(('نیروی انسانی'!$C$4+' زيرساخت اداري'!$C$3)*(('داده هاي اقتصاد كلان'!$D$20+1)^G$5))*میلیون*دلار</f>
        <v>83015.091099924917</v>
      </c>
      <c r="H15" s="88">
        <f>(('نیروی انسانی'!$C$4+' زيرساخت اداري'!$C$3)*(('داده هاي اقتصاد كلان'!$D$20+1)^H$5))*میلیون*دلار</f>
        <v>83015.091099924917</v>
      </c>
      <c r="I15" s="88">
        <f>(('نیروی انسانی'!$C$4+' زيرساخت اداري'!$C$3)*(('داده هاي اقتصاد كلان'!$D$20+1)^I$5))*میلیون*دلار</f>
        <v>83015.091099924917</v>
      </c>
      <c r="J15" s="88">
        <f>(('نیروی انسانی'!$C$4+' زيرساخت اداري'!$C$3)*(('داده هاي اقتصاد كلان'!$D$20+1)^J$5))*میلیون*دلار</f>
        <v>83015.091099924917</v>
      </c>
      <c r="K15" s="88">
        <f>(('نیروی انسانی'!$C$4+' زيرساخت اداري'!$C$3)*(('داده هاي اقتصاد كلان'!$D$20+1)^K$5))*میلیون*دلار</f>
        <v>83015.091099924917</v>
      </c>
      <c r="L15" s="88">
        <f>(('نیروی انسانی'!$C$4+' زيرساخت اداري'!$C$3)*(('داده هاي اقتصاد كلان'!$D$20+1)^L$5))*میلیون*دلار</f>
        <v>83015.091099924917</v>
      </c>
      <c r="M15" s="88">
        <f>(('نیروی انسانی'!$C$4+' زيرساخت اداري'!$C$3)*(('داده هاي اقتصاد كلان'!$D$20+1)^M$5))*میلیون*دلار</f>
        <v>83015.091099924917</v>
      </c>
      <c r="N15" s="88">
        <f>(('نیروی انسانی'!$C$4+' زيرساخت اداري'!$C$3)*(('داده هاي اقتصاد كلان'!$D$20+1)^N$5))*میلیون*دلار</f>
        <v>83015.091099924917</v>
      </c>
      <c r="O15" s="88">
        <f>(('نیروی انسانی'!$C$4+' زيرساخت اداري'!$C$3)*(('داده هاي اقتصاد كلان'!$D$20+1)^O$5))*میلیون*دلار</f>
        <v>83015.091099924917</v>
      </c>
      <c r="P15" s="88">
        <f>(('نیروی انسانی'!$C$4+' زيرساخت اداري'!$C$3)*(('داده هاي اقتصاد كلان'!$D$20+1)^P$5))*میلیون*دلار</f>
        <v>83015.091099924917</v>
      </c>
      <c r="Q15" s="88">
        <f>(('نیروی انسانی'!$C$4+' زيرساخت اداري'!$C$3)*(('داده هاي اقتصاد كلان'!$D$20+1)^Q$5))*میلیون*دلار</f>
        <v>83015.091099924917</v>
      </c>
      <c r="R15" s="131">
        <f>(('نیروی انسانی'!$C$4+' زيرساخت اداري'!$C$3)*(('داده هاي اقتصاد كلان'!$D$20+1)^R$5))*میلیون*دلار</f>
        <v>83015.091099924917</v>
      </c>
    </row>
    <row r="16" spans="2:18" ht="19.75" x14ac:dyDescent="0.85">
      <c r="B16" s="366" t="s">
        <v>33</v>
      </c>
      <c r="C16" s="211"/>
      <c r="D16" s="212">
        <f>+D15+D14</f>
        <v>271223.81531646894</v>
      </c>
      <c r="E16" s="212">
        <f>+E15+E14</f>
        <v>482323.80756236764</v>
      </c>
      <c r="F16" s="212">
        <f>+F15+F14</f>
        <v>504412.38578313787</v>
      </c>
      <c r="G16" s="212">
        <f t="shared" ref="G16:R16" si="5">+G15+G14</f>
        <v>503022.92551055789</v>
      </c>
      <c r="H16" s="212">
        <f t="shared" si="5"/>
        <v>501633.46523797791</v>
      </c>
      <c r="I16" s="212">
        <f>+I15+I14</f>
        <v>500244.00496539788</v>
      </c>
      <c r="J16" s="212">
        <f t="shared" si="5"/>
        <v>498854.5446928179</v>
      </c>
      <c r="K16" s="212">
        <f t="shared" si="5"/>
        <v>497465.08442023786</v>
      </c>
      <c r="L16" s="212">
        <f t="shared" si="5"/>
        <v>496075.62414765789</v>
      </c>
      <c r="M16" s="212">
        <f t="shared" si="5"/>
        <v>494686.16387507791</v>
      </c>
      <c r="N16" s="212">
        <f t="shared" si="5"/>
        <v>493296.70360249787</v>
      </c>
      <c r="O16" s="212">
        <f t="shared" si="5"/>
        <v>491907.24332991784</v>
      </c>
      <c r="P16" s="212">
        <f t="shared" si="5"/>
        <v>490517.78305733786</v>
      </c>
      <c r="Q16" s="212">
        <f t="shared" si="5"/>
        <v>489128.32278475788</v>
      </c>
      <c r="R16" s="213">
        <f t="shared" si="5"/>
        <v>487738.86251217785</v>
      </c>
    </row>
    <row r="17" spans="2:18" ht="18.45" x14ac:dyDescent="0.65">
      <c r="B17" s="208">
        <f>B15+1</f>
        <v>10</v>
      </c>
      <c r="C17" s="206" t="s">
        <v>527</v>
      </c>
      <c r="D17" s="87">
        <f>استهلاك!$F$13*'برآوردهاي پايه'!C5*('داده هاي اقتصاد كلان'!$D$19+1)^D$5</f>
        <v>0</v>
      </c>
      <c r="E17" s="87">
        <f>استهلاك!$F$13*'برآوردهاي پايه'!D5*('داده هاي اقتصاد كلان'!$D$19+1)^E$5</f>
        <v>359726.63863089279</v>
      </c>
      <c r="F17" s="87">
        <f>استهلاك!$F$13*'برآوردهاي پايه'!E5*('داده هاي اقتصاد كلان'!$D$19+1)^F$5</f>
        <v>367067.99860295182</v>
      </c>
      <c r="G17" s="87">
        <f>استهلاك!$F$13*'برآوردهاي پايه'!F5*('داده هاي اقتصاد كلان'!$D$19+1)^G$5</f>
        <v>363397.3186169223</v>
      </c>
      <c r="H17" s="87">
        <f>استهلاك!$F$13*'برآوردهاي پايه'!G5*('داده هاي اقتصاد كلان'!$D$19+1)^H$5</f>
        <v>359726.63863089279</v>
      </c>
      <c r="I17" s="87">
        <f>استهلاك!$F$13*'برآوردهاي پايه'!H5*('داده هاي اقتصاد كلان'!$D$19+1)^I$5</f>
        <v>356055.95864486328</v>
      </c>
      <c r="J17" s="87">
        <f>استهلاك!$F$13*'برآوردهاي پايه'!I5*('داده هاي اقتصاد كلان'!$D$19+1)^J$5</f>
        <v>352385.2786588337</v>
      </c>
      <c r="K17" s="87">
        <f>استهلاك!$F$13*'برآوردهاي پايه'!J5*('داده هاي اقتصاد كلان'!$D$19+1)^K$5</f>
        <v>348714.59867280419</v>
      </c>
      <c r="L17" s="87">
        <f>استهلاك!$F$13*'برآوردهاي پايه'!K5*('داده هاي اقتصاد كلان'!$D$19+1)^L$5</f>
        <v>345043.91868677468</v>
      </c>
      <c r="M17" s="87">
        <f>استهلاك!$F$13*'برآوردهاي پايه'!L5*('داده هاي اقتصاد كلان'!$D$19+1)^M$5</f>
        <v>341373.23870074522</v>
      </c>
      <c r="N17" s="87">
        <f>استهلاك!$F$13*'برآوردهاي پايه'!M5*('داده هاي اقتصاد كلان'!$D$19+1)^N$5</f>
        <v>337702.55871471571</v>
      </c>
      <c r="O17" s="87">
        <f>استهلاك!$F$13*'برآوردهاي پايه'!N5*('داده هاي اقتصاد كلان'!$D$19+1)^O$5</f>
        <v>334031.87872868619</v>
      </c>
      <c r="P17" s="87">
        <f>استهلاك!$F$13*'برآوردهاي پايه'!O5*('داده هاي اقتصاد كلان'!$D$19+1)^P$5</f>
        <v>330361.19874265662</v>
      </c>
      <c r="Q17" s="87">
        <f>استهلاك!$F$13*'برآوردهاي پايه'!P5*('داده هاي اقتصاد كلان'!$D$19+1)^Q$5</f>
        <v>326690.51875662711</v>
      </c>
      <c r="R17" s="570">
        <f>استهلاك!$F$13*'برآوردهاي پايه'!Q5*('داده هاي اقتصاد كلان'!$D$19+1)^R$5</f>
        <v>323019.83877059759</v>
      </c>
    </row>
    <row r="18" spans="2:18" ht="18.45" x14ac:dyDescent="0.75">
      <c r="B18" s="208">
        <f>B17+1</f>
        <v>11</v>
      </c>
      <c r="C18" s="206" t="s">
        <v>34</v>
      </c>
      <c r="D18" s="87">
        <f>'تامین مالی'!$F$4*('داده هاي اقتصاد كلان'!$D$19+1)^D$5*'سرمایه ثابت'!$F$17</f>
        <v>0</v>
      </c>
      <c r="E18" s="87">
        <f>'تامین مالی'!$F$4*('داده هاي اقتصاد كلان'!$D$19+1)^E$5*'سرمایه ثابت'!$F$18</f>
        <v>0</v>
      </c>
      <c r="F18" s="88">
        <v>0</v>
      </c>
      <c r="G18" s="88">
        <v>0</v>
      </c>
      <c r="H18" s="88">
        <v>0</v>
      </c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>
        <v>0</v>
      </c>
      <c r="P18" s="88">
        <v>0</v>
      </c>
      <c r="Q18" s="88">
        <v>0</v>
      </c>
      <c r="R18" s="131">
        <v>0</v>
      </c>
    </row>
    <row r="19" spans="2:18" ht="19.75" x14ac:dyDescent="0.85">
      <c r="B19" s="366" t="s">
        <v>35</v>
      </c>
      <c r="C19" s="211"/>
      <c r="D19" s="212">
        <f>D18+D17+D16</f>
        <v>271223.81531646894</v>
      </c>
      <c r="E19" s="212">
        <f>E18+E17+E16</f>
        <v>842050.44619326037</v>
      </c>
      <c r="F19" s="212">
        <f t="shared" ref="F19:R19" si="6">F18+F17+F16</f>
        <v>871480.38438608963</v>
      </c>
      <c r="G19" s="212">
        <f t="shared" si="6"/>
        <v>866420.2441274802</v>
      </c>
      <c r="H19" s="212">
        <f>H18+H17+H16</f>
        <v>861360.10386887076</v>
      </c>
      <c r="I19" s="212">
        <f>I18+I17+I16</f>
        <v>856299.96361026121</v>
      </c>
      <c r="J19" s="212">
        <f t="shared" si="6"/>
        <v>851239.82335165166</v>
      </c>
      <c r="K19" s="212">
        <f t="shared" si="6"/>
        <v>846179.68309304211</v>
      </c>
      <c r="L19" s="212">
        <f t="shared" si="6"/>
        <v>841119.54283443256</v>
      </c>
      <c r="M19" s="212">
        <f t="shared" si="6"/>
        <v>836059.40257582313</v>
      </c>
      <c r="N19" s="212">
        <f t="shared" si="6"/>
        <v>830999.26231721358</v>
      </c>
      <c r="O19" s="212">
        <f t="shared" si="6"/>
        <v>825939.12205860403</v>
      </c>
      <c r="P19" s="212">
        <f t="shared" si="6"/>
        <v>820878.98179999448</v>
      </c>
      <c r="Q19" s="212">
        <f t="shared" si="6"/>
        <v>815818.84154138505</v>
      </c>
      <c r="R19" s="213">
        <f t="shared" si="6"/>
        <v>810758.7012827755</v>
      </c>
    </row>
    <row r="20" spans="2:18" ht="18.45" x14ac:dyDescent="0.75">
      <c r="B20" s="208">
        <f>B18+1</f>
        <v>12</v>
      </c>
      <c r="C20" s="207" t="s">
        <v>36</v>
      </c>
      <c r="D20" s="88">
        <f>'بازاریابی و فروش'!D$4*(('داده هاي اقتصاد كلان'!$D$19+1)^D$5)</f>
        <v>5.0000000000000001E-3</v>
      </c>
      <c r="E20" s="88">
        <f>'بازاریابی و فروش'!$D$4*درآمدها!E8*میلیون*(('داده هاي اقتصاد كلان'!$D$19+1)^E$5)</f>
        <v>11929.796303909106</v>
      </c>
      <c r="F20" s="88">
        <f>'بازاریابی و فروش'!$D$4*درآمدها!F8*میلیون*(('داده هاي اقتصاد كلان'!$D$19+1)^F$5)</f>
        <v>12908.960627779565</v>
      </c>
      <c r="G20" s="88">
        <f>'بازاریابی و فروش'!$D$4*درآمدها!G8*میلیون*(('داده هاي اقتصاد كلان'!$D$19+1)^G$5)</f>
        <v>6777.1834485426589</v>
      </c>
      <c r="H20" s="88">
        <f>'بازاریابی و فروش'!$D$4*درآمدها!H8*میلیون*(('داده هاي اقتصاد كلان'!$D$19+1)^H$5)</f>
        <v>7116.2250928435406</v>
      </c>
      <c r="I20" s="88">
        <f>'بازاریابی و فروش'!$D$4*درآمدها!I8*میلیون*(('داده هاي اقتصاد كلان'!$D$19+1)^I$5)</f>
        <v>7471.4499149685826</v>
      </c>
      <c r="J20" s="88">
        <f>'بازاریابی و فروش'!$D$4*درآمدها!J8*میلیون*(('داده هاي اقتصاد كلان'!$D$19+1)^J$5)</f>
        <v>7843.572991785014</v>
      </c>
      <c r="K20" s="88">
        <f>'بازاریابی و فروش'!$D$4*درآمدها!K8*میلیون*(('داده هاي اقتصاد كلان'!$D$19+1)^K$5)</f>
        <v>4171.2986617651313</v>
      </c>
      <c r="L20" s="88">
        <f>'بازاریابی و فروش'!$D$4*درآمدها!L8*میلیون*(('داده هاي اقتصاد كلان'!$D$19+1)^L$5)</f>
        <v>4484.785291595108</v>
      </c>
      <c r="M20" s="88">
        <f>'بازاریابی و فروش'!$D$4*درآمدها!M8*میلیون*(('داده هاي اقتصاد كلان'!$D$19+1)^M$5)</f>
        <v>4821.2857559141066</v>
      </c>
      <c r="N20" s="88">
        <f>'بازاریابی و فروش'!$D$4*درآمدها!N8*میلیون*(('داده هاي اقتصاد كلان'!$D$19+1)^N$5)</f>
        <v>5182.4351130797222</v>
      </c>
      <c r="O20" s="88">
        <f>'بازاریابی و فروش'!$D$4*درآمدها!O8*میلیون*(('داده هاي اقتصاد كلان'!$D$19+1)^O$5)</f>
        <v>2696.3077686828688</v>
      </c>
      <c r="P20" s="88">
        <f>'بازاریابی و فروش'!$D$4*درآمدها!P8*میلیون*(('داده هاي اقتصاد كلان'!$D$19+1)^P$5)</f>
        <v>2730.8678223280403</v>
      </c>
      <c r="Q20" s="88">
        <f>'بازاریابی و فروش'!$D$4*درآمدها!Q8*میلیون*(('داده هاي اقتصاد كلان'!$D$19+1)^Q$5)</f>
        <v>2765.5293855747923</v>
      </c>
      <c r="R20" s="131">
        <f>'بازاریابی و فروش'!$D$4*درآمدها!R8*میلیون*(('داده هاي اقتصاد كلان'!$D$19+1)^R$5)</f>
        <v>2800.2773206414404</v>
      </c>
    </row>
    <row r="21" spans="2:18" ht="19.75" x14ac:dyDescent="0.85">
      <c r="B21" s="769" t="s">
        <v>52</v>
      </c>
      <c r="C21" s="770"/>
      <c r="D21" s="212">
        <f>D20+D19</f>
        <v>271223.82031646895</v>
      </c>
      <c r="E21" s="212">
        <f>E20+E19</f>
        <v>853980.24249716953</v>
      </c>
      <c r="F21" s="212">
        <f t="shared" ref="F21:R21" si="7">F20+F19</f>
        <v>884389.34501386923</v>
      </c>
      <c r="G21" s="212">
        <f t="shared" si="7"/>
        <v>873197.4275760228</v>
      </c>
      <c r="H21" s="212">
        <f t="shared" si="7"/>
        <v>868476.32896171429</v>
      </c>
      <c r="I21" s="212">
        <f>I20+I19</f>
        <v>863771.41352522979</v>
      </c>
      <c r="J21" s="212">
        <f t="shared" si="7"/>
        <v>859083.39634343667</v>
      </c>
      <c r="K21" s="212">
        <f t="shared" si="7"/>
        <v>850350.98175480729</v>
      </c>
      <c r="L21" s="212">
        <f t="shared" si="7"/>
        <v>845604.32812602771</v>
      </c>
      <c r="M21" s="212">
        <f t="shared" si="7"/>
        <v>840880.68833173718</v>
      </c>
      <c r="N21" s="212">
        <f t="shared" si="7"/>
        <v>836181.69743029331</v>
      </c>
      <c r="O21" s="212">
        <f t="shared" si="7"/>
        <v>828635.42982728686</v>
      </c>
      <c r="P21" s="212">
        <f t="shared" si="7"/>
        <v>823609.84962232248</v>
      </c>
      <c r="Q21" s="212">
        <f t="shared" si="7"/>
        <v>818584.37092695979</v>
      </c>
      <c r="R21" s="213">
        <f t="shared" si="7"/>
        <v>813558.97860341694</v>
      </c>
    </row>
    <row r="22" spans="2:18" ht="20.149999999999999" thickBot="1" x14ac:dyDescent="0.9">
      <c r="B22" s="771" t="s">
        <v>52</v>
      </c>
      <c r="C22" s="772"/>
      <c r="D22" s="214">
        <f>D21</f>
        <v>271223.82031646895</v>
      </c>
      <c r="E22" s="214">
        <f t="shared" ref="E22:J22" si="8">E21</f>
        <v>853980.24249716953</v>
      </c>
      <c r="F22" s="214">
        <f t="shared" si="8"/>
        <v>884389.34501386923</v>
      </c>
      <c r="G22" s="214">
        <f t="shared" si="8"/>
        <v>873197.4275760228</v>
      </c>
      <c r="H22" s="214">
        <f t="shared" si="8"/>
        <v>868476.32896171429</v>
      </c>
      <c r="I22" s="214">
        <f t="shared" si="8"/>
        <v>863771.41352522979</v>
      </c>
      <c r="J22" s="214">
        <f t="shared" si="8"/>
        <v>859083.39634343667</v>
      </c>
      <c r="K22" s="214">
        <f t="shared" ref="K22:R22" si="9">K21</f>
        <v>850350.98175480729</v>
      </c>
      <c r="L22" s="214">
        <f t="shared" si="9"/>
        <v>845604.32812602771</v>
      </c>
      <c r="M22" s="214">
        <f t="shared" si="9"/>
        <v>840880.68833173718</v>
      </c>
      <c r="N22" s="214">
        <f t="shared" si="9"/>
        <v>836181.69743029331</v>
      </c>
      <c r="O22" s="214">
        <f t="shared" si="9"/>
        <v>828635.42982728686</v>
      </c>
      <c r="P22" s="214">
        <f t="shared" si="9"/>
        <v>823609.84962232248</v>
      </c>
      <c r="Q22" s="214">
        <f t="shared" si="9"/>
        <v>818584.37092695979</v>
      </c>
      <c r="R22" s="215">
        <f t="shared" si="9"/>
        <v>813558.97860341694</v>
      </c>
    </row>
    <row r="23" spans="2:18" x14ac:dyDescent="0.65">
      <c r="E23" s="55"/>
      <c r="I23" s="56"/>
    </row>
    <row r="24" spans="2:18" x14ac:dyDescent="0.65">
      <c r="E24" s="55"/>
      <c r="I24" s="56"/>
    </row>
  </sheetData>
  <mergeCells count="6">
    <mergeCell ref="B2:C2"/>
    <mergeCell ref="B21:C21"/>
    <mergeCell ref="B22:C22"/>
    <mergeCell ref="E3:H3"/>
    <mergeCell ref="I3:R3"/>
    <mergeCell ref="B3:B5"/>
  </mergeCells>
  <pageMargins left="0.7" right="0.7" top="0.75" bottom="0.75" header="0.3" footer="0.3"/>
  <pageSetup orientation="landscape" r:id="rId1"/>
  <ignoredErrors>
    <ignoredError sqref="G16:H16 J16:R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B1:K41"/>
  <sheetViews>
    <sheetView rightToLeft="1" topLeftCell="A8" zoomScale="85" zoomScaleNormal="8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43.53515625" style="61" bestFit="1" customWidth="1"/>
    <col min="3" max="3" width="15.53515625" style="62" customWidth="1"/>
    <col min="4" max="4" width="21.07421875" style="62" bestFit="1" customWidth="1"/>
    <col min="5" max="5" width="18.765625" style="61" bestFit="1" customWidth="1"/>
    <col min="6" max="6" width="22.23046875" style="61" bestFit="1" customWidth="1"/>
    <col min="7" max="7" width="22.23046875" style="61" customWidth="1"/>
    <col min="8" max="8" width="22.23046875" style="61" bestFit="1" customWidth="1"/>
    <col min="9" max="9" width="16.765625" style="61" bestFit="1" customWidth="1"/>
    <col min="10" max="10" width="10.23046875" style="61"/>
    <col min="11" max="11" width="11.53515625" style="61" bestFit="1" customWidth="1"/>
    <col min="12" max="12" width="10.23046875" style="61"/>
    <col min="13" max="13" width="12.765625" style="61" bestFit="1" customWidth="1"/>
    <col min="14" max="250" width="10.23046875" style="61"/>
    <col min="251" max="251" width="3.53515625" style="61" customWidth="1"/>
    <col min="252" max="252" width="29" style="61" bestFit="1" customWidth="1"/>
    <col min="253" max="253" width="12.23046875" style="61" bestFit="1" customWidth="1"/>
    <col min="254" max="254" width="17" style="61" customWidth="1"/>
    <col min="255" max="255" width="17.23046875" style="61" bestFit="1" customWidth="1"/>
    <col min="256" max="506" width="10.23046875" style="61"/>
    <col min="507" max="507" width="3.53515625" style="61" customWidth="1"/>
    <col min="508" max="508" width="29" style="61" bestFit="1" customWidth="1"/>
    <col min="509" max="509" width="12.23046875" style="61" bestFit="1" customWidth="1"/>
    <col min="510" max="510" width="17" style="61" customWidth="1"/>
    <col min="511" max="511" width="17.23046875" style="61" bestFit="1" customWidth="1"/>
    <col min="512" max="762" width="10.23046875" style="61"/>
    <col min="763" max="763" width="3.53515625" style="61" customWidth="1"/>
    <col min="764" max="764" width="29" style="61" bestFit="1" customWidth="1"/>
    <col min="765" max="765" width="12.23046875" style="61" bestFit="1" customWidth="1"/>
    <col min="766" max="766" width="17" style="61" customWidth="1"/>
    <col min="767" max="767" width="17.23046875" style="61" bestFit="1" customWidth="1"/>
    <col min="768" max="1018" width="10.23046875" style="61"/>
    <col min="1019" max="1019" width="3.53515625" style="61" customWidth="1"/>
    <col min="1020" max="1020" width="29" style="61" bestFit="1" customWidth="1"/>
    <col min="1021" max="1021" width="12.23046875" style="61" bestFit="1" customWidth="1"/>
    <col min="1022" max="1022" width="17" style="61" customWidth="1"/>
    <col min="1023" max="1023" width="17.23046875" style="61" bestFit="1" customWidth="1"/>
    <col min="1024" max="1274" width="10.23046875" style="61"/>
    <col min="1275" max="1275" width="3.53515625" style="61" customWidth="1"/>
    <col min="1276" max="1276" width="29" style="61" bestFit="1" customWidth="1"/>
    <col min="1277" max="1277" width="12.23046875" style="61" bestFit="1" customWidth="1"/>
    <col min="1278" max="1278" width="17" style="61" customWidth="1"/>
    <col min="1279" max="1279" width="17.23046875" style="61" bestFit="1" customWidth="1"/>
    <col min="1280" max="1530" width="10.23046875" style="61"/>
    <col min="1531" max="1531" width="3.53515625" style="61" customWidth="1"/>
    <col min="1532" max="1532" width="29" style="61" bestFit="1" customWidth="1"/>
    <col min="1533" max="1533" width="12.23046875" style="61" bestFit="1" customWidth="1"/>
    <col min="1534" max="1534" width="17" style="61" customWidth="1"/>
    <col min="1535" max="1535" width="17.23046875" style="61" bestFit="1" customWidth="1"/>
    <col min="1536" max="1786" width="10.23046875" style="61"/>
    <col min="1787" max="1787" width="3.53515625" style="61" customWidth="1"/>
    <col min="1788" max="1788" width="29" style="61" bestFit="1" customWidth="1"/>
    <col min="1789" max="1789" width="12.23046875" style="61" bestFit="1" customWidth="1"/>
    <col min="1790" max="1790" width="17" style="61" customWidth="1"/>
    <col min="1791" max="1791" width="17.23046875" style="61" bestFit="1" customWidth="1"/>
    <col min="1792" max="2042" width="10.23046875" style="61"/>
    <col min="2043" max="2043" width="3.53515625" style="61" customWidth="1"/>
    <col min="2044" max="2044" width="29" style="61" bestFit="1" customWidth="1"/>
    <col min="2045" max="2045" width="12.23046875" style="61" bestFit="1" customWidth="1"/>
    <col min="2046" max="2046" width="17" style="61" customWidth="1"/>
    <col min="2047" max="2047" width="17.23046875" style="61" bestFit="1" customWidth="1"/>
    <col min="2048" max="2298" width="10.23046875" style="61"/>
    <col min="2299" max="2299" width="3.53515625" style="61" customWidth="1"/>
    <col min="2300" max="2300" width="29" style="61" bestFit="1" customWidth="1"/>
    <col min="2301" max="2301" width="12.23046875" style="61" bestFit="1" customWidth="1"/>
    <col min="2302" max="2302" width="17" style="61" customWidth="1"/>
    <col min="2303" max="2303" width="17.23046875" style="61" bestFit="1" customWidth="1"/>
    <col min="2304" max="2554" width="10.23046875" style="61"/>
    <col min="2555" max="2555" width="3.53515625" style="61" customWidth="1"/>
    <col min="2556" max="2556" width="29" style="61" bestFit="1" customWidth="1"/>
    <col min="2557" max="2557" width="12.23046875" style="61" bestFit="1" customWidth="1"/>
    <col min="2558" max="2558" width="17" style="61" customWidth="1"/>
    <col min="2559" max="2559" width="17.23046875" style="61" bestFit="1" customWidth="1"/>
    <col min="2560" max="2810" width="10.23046875" style="61"/>
    <col min="2811" max="2811" width="3.53515625" style="61" customWidth="1"/>
    <col min="2812" max="2812" width="29" style="61" bestFit="1" customWidth="1"/>
    <col min="2813" max="2813" width="12.23046875" style="61" bestFit="1" customWidth="1"/>
    <col min="2814" max="2814" width="17" style="61" customWidth="1"/>
    <col min="2815" max="2815" width="17.23046875" style="61" bestFit="1" customWidth="1"/>
    <col min="2816" max="3066" width="10.23046875" style="61"/>
    <col min="3067" max="3067" width="3.53515625" style="61" customWidth="1"/>
    <col min="3068" max="3068" width="29" style="61" bestFit="1" customWidth="1"/>
    <col min="3069" max="3069" width="12.23046875" style="61" bestFit="1" customWidth="1"/>
    <col min="3070" max="3070" width="17" style="61" customWidth="1"/>
    <col min="3071" max="3071" width="17.23046875" style="61" bestFit="1" customWidth="1"/>
    <col min="3072" max="3322" width="10.23046875" style="61"/>
    <col min="3323" max="3323" width="3.53515625" style="61" customWidth="1"/>
    <col min="3324" max="3324" width="29" style="61" bestFit="1" customWidth="1"/>
    <col min="3325" max="3325" width="12.23046875" style="61" bestFit="1" customWidth="1"/>
    <col min="3326" max="3326" width="17" style="61" customWidth="1"/>
    <col min="3327" max="3327" width="17.23046875" style="61" bestFit="1" customWidth="1"/>
    <col min="3328" max="3578" width="10.23046875" style="61"/>
    <col min="3579" max="3579" width="3.53515625" style="61" customWidth="1"/>
    <col min="3580" max="3580" width="29" style="61" bestFit="1" customWidth="1"/>
    <col min="3581" max="3581" width="12.23046875" style="61" bestFit="1" customWidth="1"/>
    <col min="3582" max="3582" width="17" style="61" customWidth="1"/>
    <col min="3583" max="3583" width="17.23046875" style="61" bestFit="1" customWidth="1"/>
    <col min="3584" max="3834" width="10.23046875" style="61"/>
    <col min="3835" max="3835" width="3.53515625" style="61" customWidth="1"/>
    <col min="3836" max="3836" width="29" style="61" bestFit="1" customWidth="1"/>
    <col min="3837" max="3837" width="12.23046875" style="61" bestFit="1" customWidth="1"/>
    <col min="3838" max="3838" width="17" style="61" customWidth="1"/>
    <col min="3839" max="3839" width="17.23046875" style="61" bestFit="1" customWidth="1"/>
    <col min="3840" max="4090" width="10.23046875" style="61"/>
    <col min="4091" max="4091" width="3.53515625" style="61" customWidth="1"/>
    <col min="4092" max="4092" width="29" style="61" bestFit="1" customWidth="1"/>
    <col min="4093" max="4093" width="12.23046875" style="61" bestFit="1" customWidth="1"/>
    <col min="4094" max="4094" width="17" style="61" customWidth="1"/>
    <col min="4095" max="4095" width="17.23046875" style="61" bestFit="1" customWidth="1"/>
    <col min="4096" max="4346" width="10.23046875" style="61"/>
    <col min="4347" max="4347" width="3.53515625" style="61" customWidth="1"/>
    <col min="4348" max="4348" width="29" style="61" bestFit="1" customWidth="1"/>
    <col min="4349" max="4349" width="12.23046875" style="61" bestFit="1" customWidth="1"/>
    <col min="4350" max="4350" width="17" style="61" customWidth="1"/>
    <col min="4351" max="4351" width="17.23046875" style="61" bestFit="1" customWidth="1"/>
    <col min="4352" max="4602" width="10.23046875" style="61"/>
    <col min="4603" max="4603" width="3.53515625" style="61" customWidth="1"/>
    <col min="4604" max="4604" width="29" style="61" bestFit="1" customWidth="1"/>
    <col min="4605" max="4605" width="12.23046875" style="61" bestFit="1" customWidth="1"/>
    <col min="4606" max="4606" width="17" style="61" customWidth="1"/>
    <col min="4607" max="4607" width="17.23046875" style="61" bestFit="1" customWidth="1"/>
    <col min="4608" max="4858" width="10.23046875" style="61"/>
    <col min="4859" max="4859" width="3.53515625" style="61" customWidth="1"/>
    <col min="4860" max="4860" width="29" style="61" bestFit="1" customWidth="1"/>
    <col min="4861" max="4861" width="12.23046875" style="61" bestFit="1" customWidth="1"/>
    <col min="4862" max="4862" width="17" style="61" customWidth="1"/>
    <col min="4863" max="4863" width="17.23046875" style="61" bestFit="1" customWidth="1"/>
    <col min="4864" max="5114" width="10.23046875" style="61"/>
    <col min="5115" max="5115" width="3.53515625" style="61" customWidth="1"/>
    <col min="5116" max="5116" width="29" style="61" bestFit="1" customWidth="1"/>
    <col min="5117" max="5117" width="12.23046875" style="61" bestFit="1" customWidth="1"/>
    <col min="5118" max="5118" width="17" style="61" customWidth="1"/>
    <col min="5119" max="5119" width="17.23046875" style="61" bestFit="1" customWidth="1"/>
    <col min="5120" max="5370" width="10.23046875" style="61"/>
    <col min="5371" max="5371" width="3.53515625" style="61" customWidth="1"/>
    <col min="5372" max="5372" width="29" style="61" bestFit="1" customWidth="1"/>
    <col min="5373" max="5373" width="12.23046875" style="61" bestFit="1" customWidth="1"/>
    <col min="5374" max="5374" width="17" style="61" customWidth="1"/>
    <col min="5375" max="5375" width="17.23046875" style="61" bestFit="1" customWidth="1"/>
    <col min="5376" max="5626" width="10.23046875" style="61"/>
    <col min="5627" max="5627" width="3.53515625" style="61" customWidth="1"/>
    <col min="5628" max="5628" width="29" style="61" bestFit="1" customWidth="1"/>
    <col min="5629" max="5629" width="12.23046875" style="61" bestFit="1" customWidth="1"/>
    <col min="5630" max="5630" width="17" style="61" customWidth="1"/>
    <col min="5631" max="5631" width="17.23046875" style="61" bestFit="1" customWidth="1"/>
    <col min="5632" max="5882" width="10.23046875" style="61"/>
    <col min="5883" max="5883" width="3.53515625" style="61" customWidth="1"/>
    <col min="5884" max="5884" width="29" style="61" bestFit="1" customWidth="1"/>
    <col min="5885" max="5885" width="12.23046875" style="61" bestFit="1" customWidth="1"/>
    <col min="5886" max="5886" width="17" style="61" customWidth="1"/>
    <col min="5887" max="5887" width="17.23046875" style="61" bestFit="1" customWidth="1"/>
    <col min="5888" max="6138" width="10.23046875" style="61"/>
    <col min="6139" max="6139" width="3.53515625" style="61" customWidth="1"/>
    <col min="6140" max="6140" width="29" style="61" bestFit="1" customWidth="1"/>
    <col min="6141" max="6141" width="12.23046875" style="61" bestFit="1" customWidth="1"/>
    <col min="6142" max="6142" width="17" style="61" customWidth="1"/>
    <col min="6143" max="6143" width="17.23046875" style="61" bestFit="1" customWidth="1"/>
    <col min="6144" max="6394" width="10.23046875" style="61"/>
    <col min="6395" max="6395" width="3.53515625" style="61" customWidth="1"/>
    <col min="6396" max="6396" width="29" style="61" bestFit="1" customWidth="1"/>
    <col min="6397" max="6397" width="12.23046875" style="61" bestFit="1" customWidth="1"/>
    <col min="6398" max="6398" width="17" style="61" customWidth="1"/>
    <col min="6399" max="6399" width="17.23046875" style="61" bestFit="1" customWidth="1"/>
    <col min="6400" max="6650" width="10.23046875" style="61"/>
    <col min="6651" max="6651" width="3.53515625" style="61" customWidth="1"/>
    <col min="6652" max="6652" width="29" style="61" bestFit="1" customWidth="1"/>
    <col min="6653" max="6653" width="12.23046875" style="61" bestFit="1" customWidth="1"/>
    <col min="6654" max="6654" width="17" style="61" customWidth="1"/>
    <col min="6655" max="6655" width="17.23046875" style="61" bestFit="1" customWidth="1"/>
    <col min="6656" max="6906" width="10.23046875" style="61"/>
    <col min="6907" max="6907" width="3.53515625" style="61" customWidth="1"/>
    <col min="6908" max="6908" width="29" style="61" bestFit="1" customWidth="1"/>
    <col min="6909" max="6909" width="12.23046875" style="61" bestFit="1" customWidth="1"/>
    <col min="6910" max="6910" width="17" style="61" customWidth="1"/>
    <col min="6911" max="6911" width="17.23046875" style="61" bestFit="1" customWidth="1"/>
    <col min="6912" max="7162" width="10.23046875" style="61"/>
    <col min="7163" max="7163" width="3.53515625" style="61" customWidth="1"/>
    <col min="7164" max="7164" width="29" style="61" bestFit="1" customWidth="1"/>
    <col min="7165" max="7165" width="12.23046875" style="61" bestFit="1" customWidth="1"/>
    <col min="7166" max="7166" width="17" style="61" customWidth="1"/>
    <col min="7167" max="7167" width="17.23046875" style="61" bestFit="1" customWidth="1"/>
    <col min="7168" max="7418" width="10.23046875" style="61"/>
    <col min="7419" max="7419" width="3.53515625" style="61" customWidth="1"/>
    <col min="7420" max="7420" width="29" style="61" bestFit="1" customWidth="1"/>
    <col min="7421" max="7421" width="12.23046875" style="61" bestFit="1" customWidth="1"/>
    <col min="7422" max="7422" width="17" style="61" customWidth="1"/>
    <col min="7423" max="7423" width="17.23046875" style="61" bestFit="1" customWidth="1"/>
    <col min="7424" max="7674" width="10.23046875" style="61"/>
    <col min="7675" max="7675" width="3.53515625" style="61" customWidth="1"/>
    <col min="7676" max="7676" width="29" style="61" bestFit="1" customWidth="1"/>
    <col min="7677" max="7677" width="12.23046875" style="61" bestFit="1" customWidth="1"/>
    <col min="7678" max="7678" width="17" style="61" customWidth="1"/>
    <col min="7679" max="7679" width="17.23046875" style="61" bestFit="1" customWidth="1"/>
    <col min="7680" max="7930" width="10.23046875" style="61"/>
    <col min="7931" max="7931" width="3.53515625" style="61" customWidth="1"/>
    <col min="7932" max="7932" width="29" style="61" bestFit="1" customWidth="1"/>
    <col min="7933" max="7933" width="12.23046875" style="61" bestFit="1" customWidth="1"/>
    <col min="7934" max="7934" width="17" style="61" customWidth="1"/>
    <col min="7935" max="7935" width="17.23046875" style="61" bestFit="1" customWidth="1"/>
    <col min="7936" max="8186" width="10.23046875" style="61"/>
    <col min="8187" max="8187" width="3.53515625" style="61" customWidth="1"/>
    <col min="8188" max="8188" width="29" style="61" bestFit="1" customWidth="1"/>
    <col min="8189" max="8189" width="12.23046875" style="61" bestFit="1" customWidth="1"/>
    <col min="8190" max="8190" width="17" style="61" customWidth="1"/>
    <col min="8191" max="8191" width="17.23046875" style="61" bestFit="1" customWidth="1"/>
    <col min="8192" max="8442" width="10.23046875" style="61"/>
    <col min="8443" max="8443" width="3.53515625" style="61" customWidth="1"/>
    <col min="8444" max="8444" width="29" style="61" bestFit="1" customWidth="1"/>
    <col min="8445" max="8445" width="12.23046875" style="61" bestFit="1" customWidth="1"/>
    <col min="8446" max="8446" width="17" style="61" customWidth="1"/>
    <col min="8447" max="8447" width="17.23046875" style="61" bestFit="1" customWidth="1"/>
    <col min="8448" max="8698" width="10.23046875" style="61"/>
    <col min="8699" max="8699" width="3.53515625" style="61" customWidth="1"/>
    <col min="8700" max="8700" width="29" style="61" bestFit="1" customWidth="1"/>
    <col min="8701" max="8701" width="12.23046875" style="61" bestFit="1" customWidth="1"/>
    <col min="8702" max="8702" width="17" style="61" customWidth="1"/>
    <col min="8703" max="8703" width="17.23046875" style="61" bestFit="1" customWidth="1"/>
    <col min="8704" max="8954" width="10.23046875" style="61"/>
    <col min="8955" max="8955" width="3.53515625" style="61" customWidth="1"/>
    <col min="8956" max="8956" width="29" style="61" bestFit="1" customWidth="1"/>
    <col min="8957" max="8957" width="12.23046875" style="61" bestFit="1" customWidth="1"/>
    <col min="8958" max="8958" width="17" style="61" customWidth="1"/>
    <col min="8959" max="8959" width="17.23046875" style="61" bestFit="1" customWidth="1"/>
    <col min="8960" max="9210" width="10.23046875" style="61"/>
    <col min="9211" max="9211" width="3.53515625" style="61" customWidth="1"/>
    <col min="9212" max="9212" width="29" style="61" bestFit="1" customWidth="1"/>
    <col min="9213" max="9213" width="12.23046875" style="61" bestFit="1" customWidth="1"/>
    <col min="9214" max="9214" width="17" style="61" customWidth="1"/>
    <col min="9215" max="9215" width="17.23046875" style="61" bestFit="1" customWidth="1"/>
    <col min="9216" max="9466" width="10.23046875" style="61"/>
    <col min="9467" max="9467" width="3.53515625" style="61" customWidth="1"/>
    <col min="9468" max="9468" width="29" style="61" bestFit="1" customWidth="1"/>
    <col min="9469" max="9469" width="12.23046875" style="61" bestFit="1" customWidth="1"/>
    <col min="9470" max="9470" width="17" style="61" customWidth="1"/>
    <col min="9471" max="9471" width="17.23046875" style="61" bestFit="1" customWidth="1"/>
    <col min="9472" max="9722" width="10.23046875" style="61"/>
    <col min="9723" max="9723" width="3.53515625" style="61" customWidth="1"/>
    <col min="9724" max="9724" width="29" style="61" bestFit="1" customWidth="1"/>
    <col min="9725" max="9725" width="12.23046875" style="61" bestFit="1" customWidth="1"/>
    <col min="9726" max="9726" width="17" style="61" customWidth="1"/>
    <col min="9727" max="9727" width="17.23046875" style="61" bestFit="1" customWidth="1"/>
    <col min="9728" max="9978" width="10.23046875" style="61"/>
    <col min="9979" max="9979" width="3.53515625" style="61" customWidth="1"/>
    <col min="9980" max="9980" width="29" style="61" bestFit="1" customWidth="1"/>
    <col min="9981" max="9981" width="12.23046875" style="61" bestFit="1" customWidth="1"/>
    <col min="9982" max="9982" width="17" style="61" customWidth="1"/>
    <col min="9983" max="9983" width="17.23046875" style="61" bestFit="1" customWidth="1"/>
    <col min="9984" max="10234" width="10.23046875" style="61"/>
    <col min="10235" max="10235" width="3.53515625" style="61" customWidth="1"/>
    <col min="10236" max="10236" width="29" style="61" bestFit="1" customWidth="1"/>
    <col min="10237" max="10237" width="12.23046875" style="61" bestFit="1" customWidth="1"/>
    <col min="10238" max="10238" width="17" style="61" customWidth="1"/>
    <col min="10239" max="10239" width="17.23046875" style="61" bestFit="1" customWidth="1"/>
    <col min="10240" max="10490" width="10.23046875" style="61"/>
    <col min="10491" max="10491" width="3.53515625" style="61" customWidth="1"/>
    <col min="10492" max="10492" width="29" style="61" bestFit="1" customWidth="1"/>
    <col min="10493" max="10493" width="12.23046875" style="61" bestFit="1" customWidth="1"/>
    <col min="10494" max="10494" width="17" style="61" customWidth="1"/>
    <col min="10495" max="10495" width="17.23046875" style="61" bestFit="1" customWidth="1"/>
    <col min="10496" max="10746" width="10.23046875" style="61"/>
    <col min="10747" max="10747" width="3.53515625" style="61" customWidth="1"/>
    <col min="10748" max="10748" width="29" style="61" bestFit="1" customWidth="1"/>
    <col min="10749" max="10749" width="12.23046875" style="61" bestFit="1" customWidth="1"/>
    <col min="10750" max="10750" width="17" style="61" customWidth="1"/>
    <col min="10751" max="10751" width="17.23046875" style="61" bestFit="1" customWidth="1"/>
    <col min="10752" max="11002" width="10.23046875" style="61"/>
    <col min="11003" max="11003" width="3.53515625" style="61" customWidth="1"/>
    <col min="11004" max="11004" width="29" style="61" bestFit="1" customWidth="1"/>
    <col min="11005" max="11005" width="12.23046875" style="61" bestFit="1" customWidth="1"/>
    <col min="11006" max="11006" width="17" style="61" customWidth="1"/>
    <col min="11007" max="11007" width="17.23046875" style="61" bestFit="1" customWidth="1"/>
    <col min="11008" max="11258" width="10.23046875" style="61"/>
    <col min="11259" max="11259" width="3.53515625" style="61" customWidth="1"/>
    <col min="11260" max="11260" width="29" style="61" bestFit="1" customWidth="1"/>
    <col min="11261" max="11261" width="12.23046875" style="61" bestFit="1" customWidth="1"/>
    <col min="11262" max="11262" width="17" style="61" customWidth="1"/>
    <col min="11263" max="11263" width="17.23046875" style="61" bestFit="1" customWidth="1"/>
    <col min="11264" max="11514" width="10.23046875" style="61"/>
    <col min="11515" max="11515" width="3.53515625" style="61" customWidth="1"/>
    <col min="11516" max="11516" width="29" style="61" bestFit="1" customWidth="1"/>
    <col min="11517" max="11517" width="12.23046875" style="61" bestFit="1" customWidth="1"/>
    <col min="11518" max="11518" width="17" style="61" customWidth="1"/>
    <col min="11519" max="11519" width="17.23046875" style="61" bestFit="1" customWidth="1"/>
    <col min="11520" max="11770" width="10.23046875" style="61"/>
    <col min="11771" max="11771" width="3.53515625" style="61" customWidth="1"/>
    <col min="11772" max="11772" width="29" style="61" bestFit="1" customWidth="1"/>
    <col min="11773" max="11773" width="12.23046875" style="61" bestFit="1" customWidth="1"/>
    <col min="11774" max="11774" width="17" style="61" customWidth="1"/>
    <col min="11775" max="11775" width="17.23046875" style="61" bestFit="1" customWidth="1"/>
    <col min="11776" max="12026" width="10.23046875" style="61"/>
    <col min="12027" max="12027" width="3.53515625" style="61" customWidth="1"/>
    <col min="12028" max="12028" width="29" style="61" bestFit="1" customWidth="1"/>
    <col min="12029" max="12029" width="12.23046875" style="61" bestFit="1" customWidth="1"/>
    <col min="12030" max="12030" width="17" style="61" customWidth="1"/>
    <col min="12031" max="12031" width="17.23046875" style="61" bestFit="1" customWidth="1"/>
    <col min="12032" max="12282" width="10.23046875" style="61"/>
    <col min="12283" max="12283" width="3.53515625" style="61" customWidth="1"/>
    <col min="12284" max="12284" width="29" style="61" bestFit="1" customWidth="1"/>
    <col min="12285" max="12285" width="12.23046875" style="61" bestFit="1" customWidth="1"/>
    <col min="12286" max="12286" width="17" style="61" customWidth="1"/>
    <col min="12287" max="12287" width="17.23046875" style="61" bestFit="1" customWidth="1"/>
    <col min="12288" max="12538" width="10.23046875" style="61"/>
    <col min="12539" max="12539" width="3.53515625" style="61" customWidth="1"/>
    <col min="12540" max="12540" width="29" style="61" bestFit="1" customWidth="1"/>
    <col min="12541" max="12541" width="12.23046875" style="61" bestFit="1" customWidth="1"/>
    <col min="12542" max="12542" width="17" style="61" customWidth="1"/>
    <col min="12543" max="12543" width="17.23046875" style="61" bestFit="1" customWidth="1"/>
    <col min="12544" max="12794" width="10.23046875" style="61"/>
    <col min="12795" max="12795" width="3.53515625" style="61" customWidth="1"/>
    <col min="12796" max="12796" width="29" style="61" bestFit="1" customWidth="1"/>
    <col min="12797" max="12797" width="12.23046875" style="61" bestFit="1" customWidth="1"/>
    <col min="12798" max="12798" width="17" style="61" customWidth="1"/>
    <col min="12799" max="12799" width="17.23046875" style="61" bestFit="1" customWidth="1"/>
    <col min="12800" max="13050" width="10.23046875" style="61"/>
    <col min="13051" max="13051" width="3.53515625" style="61" customWidth="1"/>
    <col min="13052" max="13052" width="29" style="61" bestFit="1" customWidth="1"/>
    <col min="13053" max="13053" width="12.23046875" style="61" bestFit="1" customWidth="1"/>
    <col min="13054" max="13054" width="17" style="61" customWidth="1"/>
    <col min="13055" max="13055" width="17.23046875" style="61" bestFit="1" customWidth="1"/>
    <col min="13056" max="13306" width="10.23046875" style="61"/>
    <col min="13307" max="13307" width="3.53515625" style="61" customWidth="1"/>
    <col min="13308" max="13308" width="29" style="61" bestFit="1" customWidth="1"/>
    <col min="13309" max="13309" width="12.23046875" style="61" bestFit="1" customWidth="1"/>
    <col min="13310" max="13310" width="17" style="61" customWidth="1"/>
    <col min="13311" max="13311" width="17.23046875" style="61" bestFit="1" customWidth="1"/>
    <col min="13312" max="13562" width="10.23046875" style="61"/>
    <col min="13563" max="13563" width="3.53515625" style="61" customWidth="1"/>
    <col min="13564" max="13564" width="29" style="61" bestFit="1" customWidth="1"/>
    <col min="13565" max="13565" width="12.23046875" style="61" bestFit="1" customWidth="1"/>
    <col min="13566" max="13566" width="17" style="61" customWidth="1"/>
    <col min="13567" max="13567" width="17.23046875" style="61" bestFit="1" customWidth="1"/>
    <col min="13568" max="13818" width="10.23046875" style="61"/>
    <col min="13819" max="13819" width="3.53515625" style="61" customWidth="1"/>
    <col min="13820" max="13820" width="29" style="61" bestFit="1" customWidth="1"/>
    <col min="13821" max="13821" width="12.23046875" style="61" bestFit="1" customWidth="1"/>
    <col min="13822" max="13822" width="17" style="61" customWidth="1"/>
    <col min="13823" max="13823" width="17.23046875" style="61" bestFit="1" customWidth="1"/>
    <col min="13824" max="14074" width="10.23046875" style="61"/>
    <col min="14075" max="14075" width="3.53515625" style="61" customWidth="1"/>
    <col min="14076" max="14076" width="29" style="61" bestFit="1" customWidth="1"/>
    <col min="14077" max="14077" width="12.23046875" style="61" bestFit="1" customWidth="1"/>
    <col min="14078" max="14078" width="17" style="61" customWidth="1"/>
    <col min="14079" max="14079" width="17.23046875" style="61" bestFit="1" customWidth="1"/>
    <col min="14080" max="14330" width="10.23046875" style="61"/>
    <col min="14331" max="14331" width="3.53515625" style="61" customWidth="1"/>
    <col min="14332" max="14332" width="29" style="61" bestFit="1" customWidth="1"/>
    <col min="14333" max="14333" width="12.23046875" style="61" bestFit="1" customWidth="1"/>
    <col min="14334" max="14334" width="17" style="61" customWidth="1"/>
    <col min="14335" max="14335" width="17.23046875" style="61" bestFit="1" customWidth="1"/>
    <col min="14336" max="14586" width="10.23046875" style="61"/>
    <col min="14587" max="14587" width="3.53515625" style="61" customWidth="1"/>
    <col min="14588" max="14588" width="29" style="61" bestFit="1" customWidth="1"/>
    <col min="14589" max="14589" width="12.23046875" style="61" bestFit="1" customWidth="1"/>
    <col min="14590" max="14590" width="17" style="61" customWidth="1"/>
    <col min="14591" max="14591" width="17.23046875" style="61" bestFit="1" customWidth="1"/>
    <col min="14592" max="14842" width="10.23046875" style="61"/>
    <col min="14843" max="14843" width="3.53515625" style="61" customWidth="1"/>
    <col min="14844" max="14844" width="29" style="61" bestFit="1" customWidth="1"/>
    <col min="14845" max="14845" width="12.23046875" style="61" bestFit="1" customWidth="1"/>
    <col min="14846" max="14846" width="17" style="61" customWidth="1"/>
    <col min="14847" max="14847" width="17.23046875" style="61" bestFit="1" customWidth="1"/>
    <col min="14848" max="15098" width="10.23046875" style="61"/>
    <col min="15099" max="15099" width="3.53515625" style="61" customWidth="1"/>
    <col min="15100" max="15100" width="29" style="61" bestFit="1" customWidth="1"/>
    <col min="15101" max="15101" width="12.23046875" style="61" bestFit="1" customWidth="1"/>
    <col min="15102" max="15102" width="17" style="61" customWidth="1"/>
    <col min="15103" max="15103" width="17.23046875" style="61" bestFit="1" customWidth="1"/>
    <col min="15104" max="15354" width="10.23046875" style="61"/>
    <col min="15355" max="15355" width="3.53515625" style="61" customWidth="1"/>
    <col min="15356" max="15356" width="29" style="61" bestFit="1" customWidth="1"/>
    <col min="15357" max="15357" width="12.23046875" style="61" bestFit="1" customWidth="1"/>
    <col min="15358" max="15358" width="17" style="61" customWidth="1"/>
    <col min="15359" max="15359" width="17.23046875" style="61" bestFit="1" customWidth="1"/>
    <col min="15360" max="15610" width="10.23046875" style="61"/>
    <col min="15611" max="15611" width="3.53515625" style="61" customWidth="1"/>
    <col min="15612" max="15612" width="29" style="61" bestFit="1" customWidth="1"/>
    <col min="15613" max="15613" width="12.23046875" style="61" bestFit="1" customWidth="1"/>
    <col min="15614" max="15614" width="17" style="61" customWidth="1"/>
    <col min="15615" max="15615" width="17.23046875" style="61" bestFit="1" customWidth="1"/>
    <col min="15616" max="15866" width="10.23046875" style="61"/>
    <col min="15867" max="15867" width="3.53515625" style="61" customWidth="1"/>
    <col min="15868" max="15868" width="29" style="61" bestFit="1" customWidth="1"/>
    <col min="15869" max="15869" width="12.23046875" style="61" bestFit="1" customWidth="1"/>
    <col min="15870" max="15870" width="17" style="61" customWidth="1"/>
    <col min="15871" max="15871" width="17.23046875" style="61" bestFit="1" customWidth="1"/>
    <col min="15872" max="16122" width="10.23046875" style="61"/>
    <col min="16123" max="16123" width="3.53515625" style="61" customWidth="1"/>
    <col min="16124" max="16124" width="29" style="61" bestFit="1" customWidth="1"/>
    <col min="16125" max="16125" width="12.23046875" style="61" bestFit="1" customWidth="1"/>
    <col min="16126" max="16126" width="17" style="61" customWidth="1"/>
    <col min="16127" max="16127" width="17.23046875" style="61" bestFit="1" customWidth="1"/>
    <col min="16128" max="16384" width="10.23046875" style="61"/>
  </cols>
  <sheetData>
    <row r="1" spans="2:11" ht="18.899999999999999" thickBot="1" x14ac:dyDescent="0.8"/>
    <row r="2" spans="2:11" ht="19.75" x14ac:dyDescent="0.75">
      <c r="B2" s="163" t="s">
        <v>3</v>
      </c>
      <c r="C2" s="186" t="s">
        <v>480</v>
      </c>
      <c r="D2" s="80"/>
      <c r="E2" s="80"/>
      <c r="F2" s="80"/>
      <c r="G2" s="80"/>
      <c r="H2" s="80"/>
      <c r="I2" s="5"/>
    </row>
    <row r="3" spans="2:11" ht="20.149999999999999" thickBot="1" x14ac:dyDescent="0.8">
      <c r="B3" s="398" t="str">
        <f>$B$11</f>
        <v>هزينه هاي ريالي يوتيليتي</v>
      </c>
      <c r="C3" s="138">
        <f>$G$21</f>
        <v>57781.375</v>
      </c>
      <c r="D3" s="80"/>
      <c r="E3" s="80"/>
      <c r="F3" s="80"/>
      <c r="G3" s="80"/>
      <c r="H3" s="80"/>
      <c r="I3" s="5"/>
    </row>
    <row r="4" spans="2:11" ht="20.149999999999999" thickBot="1" x14ac:dyDescent="0.8">
      <c r="B4" s="139"/>
      <c r="C4" s="117"/>
      <c r="D4" s="80"/>
      <c r="E4" s="80"/>
      <c r="F4" s="80"/>
      <c r="G4" s="80"/>
      <c r="H4" s="4"/>
      <c r="I4" s="4"/>
    </row>
    <row r="5" spans="2:11" ht="18.75" customHeight="1" x14ac:dyDescent="0.75">
      <c r="B5" s="163" t="s">
        <v>3</v>
      </c>
      <c r="C5" s="186" t="s">
        <v>223</v>
      </c>
      <c r="D5" s="80"/>
      <c r="E5" s="80"/>
      <c r="F5" s="80"/>
      <c r="G5" s="80"/>
      <c r="H5" s="4"/>
      <c r="I5" s="4"/>
    </row>
    <row r="6" spans="2:11" ht="19.5" customHeight="1" x14ac:dyDescent="0.75">
      <c r="B6" s="290" t="str">
        <f>$B$24</f>
        <v>هزينه هاي ارزي يوتيليتي</v>
      </c>
      <c r="C6" s="136">
        <f>$G$34</f>
        <v>0</v>
      </c>
      <c r="D6" s="80"/>
      <c r="E6" s="80"/>
      <c r="F6" s="80"/>
      <c r="G6" s="80"/>
      <c r="H6" s="4"/>
      <c r="I6" s="4"/>
    </row>
    <row r="7" spans="2:11" x14ac:dyDescent="0.75">
      <c r="B7" s="290" t="s">
        <v>492</v>
      </c>
      <c r="C7" s="136">
        <f>$G$41</f>
        <v>37320.435965759301</v>
      </c>
      <c r="D7" s="80"/>
      <c r="E7" s="80"/>
      <c r="F7" s="80"/>
      <c r="G7" s="80"/>
      <c r="H7" s="4"/>
      <c r="I7" s="4"/>
    </row>
    <row r="8" spans="2:11" ht="20.149999999999999" thickBot="1" x14ac:dyDescent="0.8">
      <c r="B8" s="137" t="s">
        <v>2</v>
      </c>
      <c r="C8" s="138">
        <f>SUM(C6:C7)</f>
        <v>37320.435965759301</v>
      </c>
      <c r="D8" s="80"/>
      <c r="E8" s="80"/>
      <c r="F8" s="80"/>
      <c r="G8" s="80"/>
      <c r="H8" s="4"/>
      <c r="I8" s="4"/>
    </row>
    <row r="9" spans="2:11" ht="19.75" x14ac:dyDescent="0.75">
      <c r="B9" s="4"/>
      <c r="C9" s="4"/>
      <c r="D9" s="116"/>
      <c r="E9" s="117"/>
      <c r="F9" s="80"/>
      <c r="G9" s="80"/>
      <c r="H9" s="80"/>
      <c r="I9" s="80"/>
      <c r="J9" s="4"/>
      <c r="K9" s="4"/>
    </row>
    <row r="10" spans="2:11" ht="18.899999999999999" thickBot="1" x14ac:dyDescent="0.8">
      <c r="E10" s="21"/>
      <c r="F10" s="21"/>
      <c r="G10" s="21"/>
      <c r="H10" s="21"/>
    </row>
    <row r="11" spans="2:11" ht="20.149999999999999" thickBot="1" x14ac:dyDescent="0.8">
      <c r="B11" s="781" t="s">
        <v>489</v>
      </c>
      <c r="C11" s="782"/>
      <c r="D11" s="782"/>
      <c r="E11" s="782"/>
      <c r="F11" s="782"/>
      <c r="G11" s="783"/>
    </row>
    <row r="12" spans="2:11" x14ac:dyDescent="0.75">
      <c r="B12" s="777" t="s">
        <v>3</v>
      </c>
      <c r="C12" s="777" t="s">
        <v>38</v>
      </c>
      <c r="D12" s="777" t="s">
        <v>488</v>
      </c>
      <c r="E12" s="777" t="s">
        <v>337</v>
      </c>
      <c r="F12" s="202" t="s">
        <v>12</v>
      </c>
      <c r="G12" s="779" t="s">
        <v>10</v>
      </c>
    </row>
    <row r="13" spans="2:11" ht="18.899999999999999" thickBot="1" x14ac:dyDescent="0.8">
      <c r="B13" s="778"/>
      <c r="C13" s="778"/>
      <c r="D13" s="778"/>
      <c r="E13" s="778"/>
      <c r="F13" s="203" t="s">
        <v>62</v>
      </c>
      <c r="G13" s="780"/>
    </row>
    <row r="14" spans="2:11" x14ac:dyDescent="0.75">
      <c r="B14" s="38" t="s">
        <v>370</v>
      </c>
      <c r="C14" s="38" t="s">
        <v>334</v>
      </c>
      <c r="D14" s="22">
        <f>'داده‌های ورودی'!$D$21/'برآوردهاي پايه'!$D$97*'برآوردهاي پايه'!$D105*هزار</f>
        <v>437.49999999999994</v>
      </c>
      <c r="E14" s="22">
        <f>$D14*روزانه*ماهیانه*سالانه</f>
        <v>3779999.9999999991</v>
      </c>
      <c r="F14" s="22">
        <v>0</v>
      </c>
      <c r="G14" s="39">
        <f>E14*F14/1000</f>
        <v>0</v>
      </c>
    </row>
    <row r="15" spans="2:11" x14ac:dyDescent="0.75">
      <c r="B15" s="38" t="s">
        <v>5892</v>
      </c>
      <c r="C15" s="38" t="s">
        <v>5893</v>
      </c>
      <c r="D15" s="22">
        <f>'برآوردهاي پايه'!$D$123*'برآوردهاي پايه'!$D$124*'برآورد محصول'!$D$77</f>
        <v>815.39999999999986</v>
      </c>
      <c r="E15" s="22">
        <f>$D15*روزانه*ماهیانه*سالانه</f>
        <v>7045056</v>
      </c>
      <c r="F15" s="22"/>
      <c r="G15" s="39"/>
    </row>
    <row r="16" spans="2:11" x14ac:dyDescent="0.75">
      <c r="B16" s="38" t="s">
        <v>335</v>
      </c>
      <c r="C16" s="38" t="s">
        <v>333</v>
      </c>
      <c r="D16" s="22">
        <f>'داده‌های ورودی'!$D$21/'برآوردهاي پايه'!$D$97*'برآوردهاي پايه'!$D106</f>
        <v>0</v>
      </c>
      <c r="E16" s="22">
        <f>$D16*روزانه*ماهیانه*سالانه</f>
        <v>0</v>
      </c>
      <c r="F16" s="22">
        <v>2</v>
      </c>
      <c r="G16" s="39">
        <f>E16*F16/هزار</f>
        <v>0</v>
      </c>
    </row>
    <row r="17" spans="2:7" x14ac:dyDescent="0.75">
      <c r="B17" s="38" t="s">
        <v>63</v>
      </c>
      <c r="C17" s="38" t="s">
        <v>441</v>
      </c>
      <c r="D17" s="22">
        <f>'داده‌های ورودی'!$D$21/'برآوردهاي پايه'!$D$97*'برآوردهاي پايه'!$D107</f>
        <v>2.1874999999999996</v>
      </c>
      <c r="E17" s="22">
        <f>$D$17</f>
        <v>2.1874999999999996</v>
      </c>
      <c r="F17" s="22">
        <v>50000</v>
      </c>
      <c r="G17" s="39">
        <f>E17*F17/هزار</f>
        <v>109.37499999999997</v>
      </c>
    </row>
    <row r="18" spans="2:7" x14ac:dyDescent="0.75">
      <c r="B18" s="38" t="s">
        <v>64</v>
      </c>
      <c r="C18" s="38" t="s">
        <v>339</v>
      </c>
      <c r="D18" s="22">
        <v>12</v>
      </c>
      <c r="E18" s="22">
        <f>D18*سالانه</f>
        <v>144</v>
      </c>
      <c r="F18" s="22">
        <v>3000</v>
      </c>
      <c r="G18" s="39">
        <f>E18*F18/هزار</f>
        <v>432</v>
      </c>
    </row>
    <row r="19" spans="2:7" x14ac:dyDescent="0.75">
      <c r="B19" s="38" t="s">
        <v>336</v>
      </c>
      <c r="C19" s="38" t="s">
        <v>338</v>
      </c>
      <c r="D19" s="22">
        <v>6</v>
      </c>
      <c r="E19" s="22">
        <f>D19*'نیروی انسانی'!$D$19*سالانه</f>
        <v>2160</v>
      </c>
      <c r="F19" s="22">
        <v>6500</v>
      </c>
      <c r="G19" s="39">
        <f>E19*F19/هزار</f>
        <v>14040</v>
      </c>
    </row>
    <row r="20" spans="2:7" ht="18.899999999999999" thickBot="1" x14ac:dyDescent="0.8">
      <c r="B20" s="38" t="s">
        <v>543</v>
      </c>
      <c r="C20" s="38" t="s">
        <v>542</v>
      </c>
      <c r="D20" s="22">
        <v>100</v>
      </c>
      <c r="E20" s="22">
        <f>$D20*روزانه*ماهیانه*سالانه</f>
        <v>864000</v>
      </c>
      <c r="F20" s="22">
        <v>50</v>
      </c>
      <c r="G20" s="39">
        <f>E20*F20/1000</f>
        <v>43200</v>
      </c>
    </row>
    <row r="21" spans="2:7" ht="20.149999999999999" thickBot="1" x14ac:dyDescent="0.8">
      <c r="B21" s="774" t="s">
        <v>2</v>
      </c>
      <c r="C21" s="775"/>
      <c r="D21" s="775"/>
      <c r="E21" s="775"/>
      <c r="F21" s="776"/>
      <c r="G21" s="200">
        <f>SUM(G14:G20)</f>
        <v>57781.375</v>
      </c>
    </row>
    <row r="22" spans="2:7" ht="19.75" x14ac:dyDescent="0.75">
      <c r="B22" s="116"/>
      <c r="C22" s="116"/>
      <c r="D22" s="116"/>
      <c r="E22" s="116"/>
      <c r="F22" s="116"/>
      <c r="G22" s="127"/>
    </row>
    <row r="23" spans="2:7" ht="18.899999999999999" thickBot="1" x14ac:dyDescent="0.8"/>
    <row r="24" spans="2:7" ht="20.149999999999999" thickBot="1" x14ac:dyDescent="0.8">
      <c r="B24" s="781" t="s">
        <v>490</v>
      </c>
      <c r="C24" s="782"/>
      <c r="D24" s="782"/>
      <c r="E24" s="782"/>
      <c r="F24" s="782"/>
      <c r="G24" s="783"/>
    </row>
    <row r="25" spans="2:7" x14ac:dyDescent="0.75">
      <c r="B25" s="777" t="s">
        <v>3</v>
      </c>
      <c r="C25" s="777" t="s">
        <v>38</v>
      </c>
      <c r="D25" s="777" t="s">
        <v>488</v>
      </c>
      <c r="E25" s="777" t="s">
        <v>337</v>
      </c>
      <c r="F25" s="202" t="s">
        <v>12</v>
      </c>
      <c r="G25" s="779" t="s">
        <v>61</v>
      </c>
    </row>
    <row r="26" spans="2:7" ht="18.899999999999999" thickBot="1" x14ac:dyDescent="0.8">
      <c r="B26" s="778"/>
      <c r="C26" s="778"/>
      <c r="D26" s="778"/>
      <c r="E26" s="778"/>
      <c r="F26" s="203" t="s">
        <v>11</v>
      </c>
      <c r="G26" s="780"/>
    </row>
    <row r="27" spans="2:7" x14ac:dyDescent="0.75">
      <c r="B27" s="38"/>
      <c r="C27" s="38"/>
      <c r="D27" s="22"/>
      <c r="E27" s="22"/>
      <c r="F27" s="98"/>
      <c r="G27" s="39"/>
    </row>
    <row r="28" spans="2:7" x14ac:dyDescent="0.75">
      <c r="B28" s="38"/>
      <c r="C28" s="38"/>
      <c r="D28" s="22"/>
      <c r="E28" s="22"/>
      <c r="F28" s="22"/>
      <c r="G28" s="39"/>
    </row>
    <row r="29" spans="2:7" x14ac:dyDescent="0.75">
      <c r="B29" s="38"/>
      <c r="C29" s="38"/>
      <c r="D29" s="22"/>
      <c r="E29" s="22"/>
      <c r="F29" s="22"/>
      <c r="G29" s="39"/>
    </row>
    <row r="30" spans="2:7" x14ac:dyDescent="0.75">
      <c r="B30" s="38"/>
      <c r="C30" s="38"/>
      <c r="D30" s="22"/>
      <c r="E30" s="22"/>
      <c r="F30" s="97"/>
      <c r="G30" s="39"/>
    </row>
    <row r="31" spans="2:7" x14ac:dyDescent="0.75">
      <c r="B31" s="38"/>
      <c r="C31" s="38"/>
      <c r="D31" s="22"/>
      <c r="E31" s="22"/>
      <c r="F31" s="22"/>
      <c r="G31" s="39"/>
    </row>
    <row r="32" spans="2:7" x14ac:dyDescent="0.75">
      <c r="B32" s="38"/>
      <c r="C32" s="38"/>
      <c r="D32" s="22"/>
      <c r="E32" s="22"/>
      <c r="F32" s="22"/>
      <c r="G32" s="39"/>
    </row>
    <row r="33" spans="2:7" ht="18.899999999999999" thickBot="1" x14ac:dyDescent="0.8">
      <c r="B33" s="38"/>
      <c r="C33" s="38"/>
      <c r="D33" s="22"/>
      <c r="E33" s="22"/>
      <c r="F33" s="22"/>
      <c r="G33" s="39"/>
    </row>
    <row r="34" spans="2:7" ht="20.149999999999999" thickBot="1" x14ac:dyDescent="0.8">
      <c r="B34" s="774" t="s">
        <v>2</v>
      </c>
      <c r="C34" s="775"/>
      <c r="D34" s="775"/>
      <c r="E34" s="775"/>
      <c r="F34" s="776"/>
      <c r="G34" s="201"/>
    </row>
    <row r="35" spans="2:7" x14ac:dyDescent="0.75">
      <c r="B35" s="128"/>
      <c r="C35" s="128"/>
      <c r="D35" s="128"/>
      <c r="E35" s="128"/>
      <c r="F35" s="128"/>
      <c r="G35" s="128"/>
    </row>
    <row r="36" spans="2:7" ht="18.899999999999999" thickBot="1" x14ac:dyDescent="0.8"/>
    <row r="37" spans="2:7" ht="20.149999999999999" thickBot="1" x14ac:dyDescent="0.8">
      <c r="B37" s="781" t="s">
        <v>491</v>
      </c>
      <c r="C37" s="782"/>
      <c r="D37" s="782"/>
      <c r="E37" s="782"/>
      <c r="F37" s="782"/>
      <c r="G37" s="783"/>
    </row>
    <row r="38" spans="2:7" x14ac:dyDescent="0.75">
      <c r="B38" s="777" t="s">
        <v>3</v>
      </c>
      <c r="C38" s="777" t="s">
        <v>38</v>
      </c>
      <c r="D38" s="777" t="s">
        <v>488</v>
      </c>
      <c r="E38" s="777" t="s">
        <v>337</v>
      </c>
      <c r="F38" s="202" t="s">
        <v>12</v>
      </c>
      <c r="G38" s="779" t="s">
        <v>61</v>
      </c>
    </row>
    <row r="39" spans="2:7" ht="18.899999999999999" thickBot="1" x14ac:dyDescent="0.8">
      <c r="B39" s="778"/>
      <c r="C39" s="778"/>
      <c r="D39" s="778"/>
      <c r="E39" s="778"/>
      <c r="F39" s="203" t="s">
        <v>11</v>
      </c>
      <c r="G39" s="780"/>
    </row>
    <row r="40" spans="2:7" ht="18.899999999999999" thickBot="1" x14ac:dyDescent="0.8">
      <c r="B40" s="38" t="s">
        <v>400</v>
      </c>
      <c r="C40" s="38" t="s">
        <v>487</v>
      </c>
      <c r="D40" s="22">
        <f>'داده‌های ورودی'!$D$21*میلیون/'تبديل واحد و اعداد ثابت'!$D$31</f>
        <v>19821.773935499947</v>
      </c>
      <c r="E40" s="22">
        <f>$D40*ماهیانه*سالانه</f>
        <v>7135838.6167799812</v>
      </c>
      <c r="F40" s="98">
        <f>'داده‌های ورودی'!$D$24/100</f>
        <v>5.2300000000000003E-3</v>
      </c>
      <c r="G40" s="39">
        <f>E40*F40</f>
        <v>37320.435965759301</v>
      </c>
    </row>
    <row r="41" spans="2:7" ht="20.149999999999999" thickBot="1" x14ac:dyDescent="0.8">
      <c r="B41" s="774" t="s">
        <v>2</v>
      </c>
      <c r="C41" s="775"/>
      <c r="D41" s="775"/>
      <c r="E41" s="775"/>
      <c r="F41" s="776"/>
      <c r="G41" s="200">
        <f>$G$40</f>
        <v>37320.435965759301</v>
      </c>
    </row>
  </sheetData>
  <mergeCells count="21">
    <mergeCell ref="G38:G39"/>
    <mergeCell ref="B41:F41"/>
    <mergeCell ref="B37:G37"/>
    <mergeCell ref="B24:G24"/>
    <mergeCell ref="B11:G11"/>
    <mergeCell ref="B34:F34"/>
    <mergeCell ref="B38:B39"/>
    <mergeCell ref="C38:C39"/>
    <mergeCell ref="D38:D39"/>
    <mergeCell ref="E38:E39"/>
    <mergeCell ref="B25:B26"/>
    <mergeCell ref="C25:C26"/>
    <mergeCell ref="D25:D26"/>
    <mergeCell ref="E25:E26"/>
    <mergeCell ref="G25:G26"/>
    <mergeCell ref="G12:G13"/>
    <mergeCell ref="B21:F21"/>
    <mergeCell ref="B12:B13"/>
    <mergeCell ref="C12:C13"/>
    <mergeCell ref="E12:E13"/>
    <mergeCell ref="D12:D13"/>
  </mergeCells>
  <phoneticPr fontId="3" type="noConversion"/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B1:K48"/>
  <sheetViews>
    <sheetView rightToLeft="1" topLeftCell="A19" zoomScale="85" zoomScaleNormal="85" zoomScaleSheetLayoutView="115" workbookViewId="0">
      <selection activeCell="D20" sqref="D20"/>
    </sheetView>
  </sheetViews>
  <sheetFormatPr defaultColWidth="10.23046875" defaultRowHeight="15" x14ac:dyDescent="0.35"/>
  <cols>
    <col min="1" max="2" width="10.23046875" style="4"/>
    <col min="3" max="3" width="43.53515625" style="4" bestFit="1" customWidth="1"/>
    <col min="4" max="4" width="31.765625" style="4" bestFit="1" customWidth="1"/>
    <col min="5" max="5" width="16.53515625" style="4" bestFit="1" customWidth="1"/>
    <col min="6" max="6" width="16.53515625" style="4" customWidth="1"/>
    <col min="7" max="7" width="28.23046875" style="4" bestFit="1" customWidth="1"/>
    <col min="8" max="8" width="13.765625" style="4" bestFit="1" customWidth="1"/>
    <col min="9" max="9" width="14.765625" style="4" customWidth="1"/>
    <col min="10" max="10" width="16" style="4" customWidth="1"/>
    <col min="11" max="11" width="16.23046875" style="4" bestFit="1" customWidth="1"/>
    <col min="12" max="12" width="16" style="4" bestFit="1" customWidth="1"/>
    <col min="13" max="13" width="24.765625" style="4" customWidth="1"/>
    <col min="14" max="14" width="16.765625" style="4" bestFit="1" customWidth="1"/>
    <col min="15" max="15" width="10.23046875" style="4"/>
    <col min="16" max="16" width="22.23046875" style="4" bestFit="1" customWidth="1"/>
    <col min="17" max="259" width="10.23046875" style="4"/>
    <col min="260" max="260" width="18" style="4" customWidth="1"/>
    <col min="261" max="261" width="29" style="4" bestFit="1" customWidth="1"/>
    <col min="262" max="262" width="13.23046875" style="4" bestFit="1" customWidth="1"/>
    <col min="263" max="263" width="12.23046875" style="4" bestFit="1" customWidth="1"/>
    <col min="264" max="264" width="24.23046875" style="4" bestFit="1" customWidth="1"/>
    <col min="265" max="265" width="10.23046875" style="4"/>
    <col min="266" max="266" width="14" style="4" customWidth="1"/>
    <col min="267" max="267" width="12" style="4" bestFit="1" customWidth="1"/>
    <col min="268" max="268" width="11.53515625" style="4" bestFit="1" customWidth="1"/>
    <col min="269" max="269" width="25.765625" style="4" customWidth="1"/>
    <col min="270" max="515" width="10.23046875" style="4"/>
    <col min="516" max="516" width="18" style="4" customWidth="1"/>
    <col min="517" max="517" width="29" style="4" bestFit="1" customWidth="1"/>
    <col min="518" max="518" width="13.23046875" style="4" bestFit="1" customWidth="1"/>
    <col min="519" max="519" width="12.23046875" style="4" bestFit="1" customWidth="1"/>
    <col min="520" max="520" width="24.23046875" style="4" bestFit="1" customWidth="1"/>
    <col min="521" max="521" width="10.23046875" style="4"/>
    <col min="522" max="522" width="14" style="4" customWidth="1"/>
    <col min="523" max="523" width="12" style="4" bestFit="1" customWidth="1"/>
    <col min="524" max="524" width="11.53515625" style="4" bestFit="1" customWidth="1"/>
    <col min="525" max="525" width="25.765625" style="4" customWidth="1"/>
    <col min="526" max="771" width="10.23046875" style="4"/>
    <col min="772" max="772" width="18" style="4" customWidth="1"/>
    <col min="773" max="773" width="29" style="4" bestFit="1" customWidth="1"/>
    <col min="774" max="774" width="13.23046875" style="4" bestFit="1" customWidth="1"/>
    <col min="775" max="775" width="12.23046875" style="4" bestFit="1" customWidth="1"/>
    <col min="776" max="776" width="24.23046875" style="4" bestFit="1" customWidth="1"/>
    <col min="777" max="777" width="10.23046875" style="4"/>
    <col min="778" max="778" width="14" style="4" customWidth="1"/>
    <col min="779" max="779" width="12" style="4" bestFit="1" customWidth="1"/>
    <col min="780" max="780" width="11.53515625" style="4" bestFit="1" customWidth="1"/>
    <col min="781" max="781" width="25.765625" style="4" customWidth="1"/>
    <col min="782" max="1027" width="10.23046875" style="4"/>
    <col min="1028" max="1028" width="18" style="4" customWidth="1"/>
    <col min="1029" max="1029" width="29" style="4" bestFit="1" customWidth="1"/>
    <col min="1030" max="1030" width="13.23046875" style="4" bestFit="1" customWidth="1"/>
    <col min="1031" max="1031" width="12.23046875" style="4" bestFit="1" customWidth="1"/>
    <col min="1032" max="1032" width="24.23046875" style="4" bestFit="1" customWidth="1"/>
    <col min="1033" max="1033" width="10.23046875" style="4"/>
    <col min="1034" max="1034" width="14" style="4" customWidth="1"/>
    <col min="1035" max="1035" width="12" style="4" bestFit="1" customWidth="1"/>
    <col min="1036" max="1036" width="11.53515625" style="4" bestFit="1" customWidth="1"/>
    <col min="1037" max="1037" width="25.765625" style="4" customWidth="1"/>
    <col min="1038" max="1283" width="10.23046875" style="4"/>
    <col min="1284" max="1284" width="18" style="4" customWidth="1"/>
    <col min="1285" max="1285" width="29" style="4" bestFit="1" customWidth="1"/>
    <col min="1286" max="1286" width="13.23046875" style="4" bestFit="1" customWidth="1"/>
    <col min="1287" max="1287" width="12.23046875" style="4" bestFit="1" customWidth="1"/>
    <col min="1288" max="1288" width="24.23046875" style="4" bestFit="1" customWidth="1"/>
    <col min="1289" max="1289" width="10.23046875" style="4"/>
    <col min="1290" max="1290" width="14" style="4" customWidth="1"/>
    <col min="1291" max="1291" width="12" style="4" bestFit="1" customWidth="1"/>
    <col min="1292" max="1292" width="11.53515625" style="4" bestFit="1" customWidth="1"/>
    <col min="1293" max="1293" width="25.765625" style="4" customWidth="1"/>
    <col min="1294" max="1539" width="10.23046875" style="4"/>
    <col min="1540" max="1540" width="18" style="4" customWidth="1"/>
    <col min="1541" max="1541" width="29" style="4" bestFit="1" customWidth="1"/>
    <col min="1542" max="1542" width="13.23046875" style="4" bestFit="1" customWidth="1"/>
    <col min="1543" max="1543" width="12.23046875" style="4" bestFit="1" customWidth="1"/>
    <col min="1544" max="1544" width="24.23046875" style="4" bestFit="1" customWidth="1"/>
    <col min="1545" max="1545" width="10.23046875" style="4"/>
    <col min="1546" max="1546" width="14" style="4" customWidth="1"/>
    <col min="1547" max="1547" width="12" style="4" bestFit="1" customWidth="1"/>
    <col min="1548" max="1548" width="11.53515625" style="4" bestFit="1" customWidth="1"/>
    <col min="1549" max="1549" width="25.765625" style="4" customWidth="1"/>
    <col min="1550" max="1795" width="10.23046875" style="4"/>
    <col min="1796" max="1796" width="18" style="4" customWidth="1"/>
    <col min="1797" max="1797" width="29" style="4" bestFit="1" customWidth="1"/>
    <col min="1798" max="1798" width="13.23046875" style="4" bestFit="1" customWidth="1"/>
    <col min="1799" max="1799" width="12.23046875" style="4" bestFit="1" customWidth="1"/>
    <col min="1800" max="1800" width="24.23046875" style="4" bestFit="1" customWidth="1"/>
    <col min="1801" max="1801" width="10.23046875" style="4"/>
    <col min="1802" max="1802" width="14" style="4" customWidth="1"/>
    <col min="1803" max="1803" width="12" style="4" bestFit="1" customWidth="1"/>
    <col min="1804" max="1804" width="11.53515625" style="4" bestFit="1" customWidth="1"/>
    <col min="1805" max="1805" width="25.765625" style="4" customWidth="1"/>
    <col min="1806" max="2051" width="10.23046875" style="4"/>
    <col min="2052" max="2052" width="18" style="4" customWidth="1"/>
    <col min="2053" max="2053" width="29" style="4" bestFit="1" customWidth="1"/>
    <col min="2054" max="2054" width="13.23046875" style="4" bestFit="1" customWidth="1"/>
    <col min="2055" max="2055" width="12.23046875" style="4" bestFit="1" customWidth="1"/>
    <col min="2056" max="2056" width="24.23046875" style="4" bestFit="1" customWidth="1"/>
    <col min="2057" max="2057" width="10.23046875" style="4"/>
    <col min="2058" max="2058" width="14" style="4" customWidth="1"/>
    <col min="2059" max="2059" width="12" style="4" bestFit="1" customWidth="1"/>
    <col min="2060" max="2060" width="11.53515625" style="4" bestFit="1" customWidth="1"/>
    <col min="2061" max="2061" width="25.765625" style="4" customWidth="1"/>
    <col min="2062" max="2307" width="10.23046875" style="4"/>
    <col min="2308" max="2308" width="18" style="4" customWidth="1"/>
    <col min="2309" max="2309" width="29" style="4" bestFit="1" customWidth="1"/>
    <col min="2310" max="2310" width="13.23046875" style="4" bestFit="1" customWidth="1"/>
    <col min="2311" max="2311" width="12.23046875" style="4" bestFit="1" customWidth="1"/>
    <col min="2312" max="2312" width="24.23046875" style="4" bestFit="1" customWidth="1"/>
    <col min="2313" max="2313" width="10.23046875" style="4"/>
    <col min="2314" max="2314" width="14" style="4" customWidth="1"/>
    <col min="2315" max="2315" width="12" style="4" bestFit="1" customWidth="1"/>
    <col min="2316" max="2316" width="11.53515625" style="4" bestFit="1" customWidth="1"/>
    <col min="2317" max="2317" width="25.765625" style="4" customWidth="1"/>
    <col min="2318" max="2563" width="10.23046875" style="4"/>
    <col min="2564" max="2564" width="18" style="4" customWidth="1"/>
    <col min="2565" max="2565" width="29" style="4" bestFit="1" customWidth="1"/>
    <col min="2566" max="2566" width="13.23046875" style="4" bestFit="1" customWidth="1"/>
    <col min="2567" max="2567" width="12.23046875" style="4" bestFit="1" customWidth="1"/>
    <col min="2568" max="2568" width="24.23046875" style="4" bestFit="1" customWidth="1"/>
    <col min="2569" max="2569" width="10.23046875" style="4"/>
    <col min="2570" max="2570" width="14" style="4" customWidth="1"/>
    <col min="2571" max="2571" width="12" style="4" bestFit="1" customWidth="1"/>
    <col min="2572" max="2572" width="11.53515625" style="4" bestFit="1" customWidth="1"/>
    <col min="2573" max="2573" width="25.765625" style="4" customWidth="1"/>
    <col min="2574" max="2819" width="10.23046875" style="4"/>
    <col min="2820" max="2820" width="18" style="4" customWidth="1"/>
    <col min="2821" max="2821" width="29" style="4" bestFit="1" customWidth="1"/>
    <col min="2822" max="2822" width="13.23046875" style="4" bestFit="1" customWidth="1"/>
    <col min="2823" max="2823" width="12.23046875" style="4" bestFit="1" customWidth="1"/>
    <col min="2824" max="2824" width="24.23046875" style="4" bestFit="1" customWidth="1"/>
    <col min="2825" max="2825" width="10.23046875" style="4"/>
    <col min="2826" max="2826" width="14" style="4" customWidth="1"/>
    <col min="2827" max="2827" width="12" style="4" bestFit="1" customWidth="1"/>
    <col min="2828" max="2828" width="11.53515625" style="4" bestFit="1" customWidth="1"/>
    <col min="2829" max="2829" width="25.765625" style="4" customWidth="1"/>
    <col min="2830" max="3075" width="10.23046875" style="4"/>
    <col min="3076" max="3076" width="18" style="4" customWidth="1"/>
    <col min="3077" max="3077" width="29" style="4" bestFit="1" customWidth="1"/>
    <col min="3078" max="3078" width="13.23046875" style="4" bestFit="1" customWidth="1"/>
    <col min="3079" max="3079" width="12.23046875" style="4" bestFit="1" customWidth="1"/>
    <col min="3080" max="3080" width="24.23046875" style="4" bestFit="1" customWidth="1"/>
    <col min="3081" max="3081" width="10.23046875" style="4"/>
    <col min="3082" max="3082" width="14" style="4" customWidth="1"/>
    <col min="3083" max="3083" width="12" style="4" bestFit="1" customWidth="1"/>
    <col min="3084" max="3084" width="11.53515625" style="4" bestFit="1" customWidth="1"/>
    <col min="3085" max="3085" width="25.765625" style="4" customWidth="1"/>
    <col min="3086" max="3331" width="10.23046875" style="4"/>
    <col min="3332" max="3332" width="18" style="4" customWidth="1"/>
    <col min="3333" max="3333" width="29" style="4" bestFit="1" customWidth="1"/>
    <col min="3334" max="3334" width="13.23046875" style="4" bestFit="1" customWidth="1"/>
    <col min="3335" max="3335" width="12.23046875" style="4" bestFit="1" customWidth="1"/>
    <col min="3336" max="3336" width="24.23046875" style="4" bestFit="1" customWidth="1"/>
    <col min="3337" max="3337" width="10.23046875" style="4"/>
    <col min="3338" max="3338" width="14" style="4" customWidth="1"/>
    <col min="3339" max="3339" width="12" style="4" bestFit="1" customWidth="1"/>
    <col min="3340" max="3340" width="11.53515625" style="4" bestFit="1" customWidth="1"/>
    <col min="3341" max="3341" width="25.765625" style="4" customWidth="1"/>
    <col min="3342" max="3587" width="10.23046875" style="4"/>
    <col min="3588" max="3588" width="18" style="4" customWidth="1"/>
    <col min="3589" max="3589" width="29" style="4" bestFit="1" customWidth="1"/>
    <col min="3590" max="3590" width="13.23046875" style="4" bestFit="1" customWidth="1"/>
    <col min="3591" max="3591" width="12.23046875" style="4" bestFit="1" customWidth="1"/>
    <col min="3592" max="3592" width="24.23046875" style="4" bestFit="1" customWidth="1"/>
    <col min="3593" max="3593" width="10.23046875" style="4"/>
    <col min="3594" max="3594" width="14" style="4" customWidth="1"/>
    <col min="3595" max="3595" width="12" style="4" bestFit="1" customWidth="1"/>
    <col min="3596" max="3596" width="11.53515625" style="4" bestFit="1" customWidth="1"/>
    <col min="3597" max="3597" width="25.765625" style="4" customWidth="1"/>
    <col min="3598" max="3843" width="10.23046875" style="4"/>
    <col min="3844" max="3844" width="18" style="4" customWidth="1"/>
    <col min="3845" max="3845" width="29" style="4" bestFit="1" customWidth="1"/>
    <col min="3846" max="3846" width="13.23046875" style="4" bestFit="1" customWidth="1"/>
    <col min="3847" max="3847" width="12.23046875" style="4" bestFit="1" customWidth="1"/>
    <col min="3848" max="3848" width="24.23046875" style="4" bestFit="1" customWidth="1"/>
    <col min="3849" max="3849" width="10.23046875" style="4"/>
    <col min="3850" max="3850" width="14" style="4" customWidth="1"/>
    <col min="3851" max="3851" width="12" style="4" bestFit="1" customWidth="1"/>
    <col min="3852" max="3852" width="11.53515625" style="4" bestFit="1" customWidth="1"/>
    <col min="3853" max="3853" width="25.765625" style="4" customWidth="1"/>
    <col min="3854" max="4099" width="10.23046875" style="4"/>
    <col min="4100" max="4100" width="18" style="4" customWidth="1"/>
    <col min="4101" max="4101" width="29" style="4" bestFit="1" customWidth="1"/>
    <col min="4102" max="4102" width="13.23046875" style="4" bestFit="1" customWidth="1"/>
    <col min="4103" max="4103" width="12.23046875" style="4" bestFit="1" customWidth="1"/>
    <col min="4104" max="4104" width="24.23046875" style="4" bestFit="1" customWidth="1"/>
    <col min="4105" max="4105" width="10.23046875" style="4"/>
    <col min="4106" max="4106" width="14" style="4" customWidth="1"/>
    <col min="4107" max="4107" width="12" style="4" bestFit="1" customWidth="1"/>
    <col min="4108" max="4108" width="11.53515625" style="4" bestFit="1" customWidth="1"/>
    <col min="4109" max="4109" width="25.765625" style="4" customWidth="1"/>
    <col min="4110" max="4355" width="10.23046875" style="4"/>
    <col min="4356" max="4356" width="18" style="4" customWidth="1"/>
    <col min="4357" max="4357" width="29" style="4" bestFit="1" customWidth="1"/>
    <col min="4358" max="4358" width="13.23046875" style="4" bestFit="1" customWidth="1"/>
    <col min="4359" max="4359" width="12.23046875" style="4" bestFit="1" customWidth="1"/>
    <col min="4360" max="4360" width="24.23046875" style="4" bestFit="1" customWidth="1"/>
    <col min="4361" max="4361" width="10.23046875" style="4"/>
    <col min="4362" max="4362" width="14" style="4" customWidth="1"/>
    <col min="4363" max="4363" width="12" style="4" bestFit="1" customWidth="1"/>
    <col min="4364" max="4364" width="11.53515625" style="4" bestFit="1" customWidth="1"/>
    <col min="4365" max="4365" width="25.765625" style="4" customWidth="1"/>
    <col min="4366" max="4611" width="10.23046875" style="4"/>
    <col min="4612" max="4612" width="18" style="4" customWidth="1"/>
    <col min="4613" max="4613" width="29" style="4" bestFit="1" customWidth="1"/>
    <col min="4614" max="4614" width="13.23046875" style="4" bestFit="1" customWidth="1"/>
    <col min="4615" max="4615" width="12.23046875" style="4" bestFit="1" customWidth="1"/>
    <col min="4616" max="4616" width="24.23046875" style="4" bestFit="1" customWidth="1"/>
    <col min="4617" max="4617" width="10.23046875" style="4"/>
    <col min="4618" max="4618" width="14" style="4" customWidth="1"/>
    <col min="4619" max="4619" width="12" style="4" bestFit="1" customWidth="1"/>
    <col min="4620" max="4620" width="11.53515625" style="4" bestFit="1" customWidth="1"/>
    <col min="4621" max="4621" width="25.765625" style="4" customWidth="1"/>
    <col min="4622" max="4867" width="10.23046875" style="4"/>
    <col min="4868" max="4868" width="18" style="4" customWidth="1"/>
    <col min="4869" max="4869" width="29" style="4" bestFit="1" customWidth="1"/>
    <col min="4870" max="4870" width="13.23046875" style="4" bestFit="1" customWidth="1"/>
    <col min="4871" max="4871" width="12.23046875" style="4" bestFit="1" customWidth="1"/>
    <col min="4872" max="4872" width="24.23046875" style="4" bestFit="1" customWidth="1"/>
    <col min="4873" max="4873" width="10.23046875" style="4"/>
    <col min="4874" max="4874" width="14" style="4" customWidth="1"/>
    <col min="4875" max="4875" width="12" style="4" bestFit="1" customWidth="1"/>
    <col min="4876" max="4876" width="11.53515625" style="4" bestFit="1" customWidth="1"/>
    <col min="4877" max="4877" width="25.765625" style="4" customWidth="1"/>
    <col min="4878" max="5123" width="10.23046875" style="4"/>
    <col min="5124" max="5124" width="18" style="4" customWidth="1"/>
    <col min="5125" max="5125" width="29" style="4" bestFit="1" customWidth="1"/>
    <col min="5126" max="5126" width="13.23046875" style="4" bestFit="1" customWidth="1"/>
    <col min="5127" max="5127" width="12.23046875" style="4" bestFit="1" customWidth="1"/>
    <col min="5128" max="5128" width="24.23046875" style="4" bestFit="1" customWidth="1"/>
    <col min="5129" max="5129" width="10.23046875" style="4"/>
    <col min="5130" max="5130" width="14" style="4" customWidth="1"/>
    <col min="5131" max="5131" width="12" style="4" bestFit="1" customWidth="1"/>
    <col min="5132" max="5132" width="11.53515625" style="4" bestFit="1" customWidth="1"/>
    <col min="5133" max="5133" width="25.765625" style="4" customWidth="1"/>
    <col min="5134" max="5379" width="10.23046875" style="4"/>
    <col min="5380" max="5380" width="18" style="4" customWidth="1"/>
    <col min="5381" max="5381" width="29" style="4" bestFit="1" customWidth="1"/>
    <col min="5382" max="5382" width="13.23046875" style="4" bestFit="1" customWidth="1"/>
    <col min="5383" max="5383" width="12.23046875" style="4" bestFit="1" customWidth="1"/>
    <col min="5384" max="5384" width="24.23046875" style="4" bestFit="1" customWidth="1"/>
    <col min="5385" max="5385" width="10.23046875" style="4"/>
    <col min="5386" max="5386" width="14" style="4" customWidth="1"/>
    <col min="5387" max="5387" width="12" style="4" bestFit="1" customWidth="1"/>
    <col min="5388" max="5388" width="11.53515625" style="4" bestFit="1" customWidth="1"/>
    <col min="5389" max="5389" width="25.765625" style="4" customWidth="1"/>
    <col min="5390" max="5635" width="10.23046875" style="4"/>
    <col min="5636" max="5636" width="18" style="4" customWidth="1"/>
    <col min="5637" max="5637" width="29" style="4" bestFit="1" customWidth="1"/>
    <col min="5638" max="5638" width="13.23046875" style="4" bestFit="1" customWidth="1"/>
    <col min="5639" max="5639" width="12.23046875" style="4" bestFit="1" customWidth="1"/>
    <col min="5640" max="5640" width="24.23046875" style="4" bestFit="1" customWidth="1"/>
    <col min="5641" max="5641" width="10.23046875" style="4"/>
    <col min="5642" max="5642" width="14" style="4" customWidth="1"/>
    <col min="5643" max="5643" width="12" style="4" bestFit="1" customWidth="1"/>
    <col min="5644" max="5644" width="11.53515625" style="4" bestFit="1" customWidth="1"/>
    <col min="5645" max="5645" width="25.765625" style="4" customWidth="1"/>
    <col min="5646" max="5891" width="10.23046875" style="4"/>
    <col min="5892" max="5892" width="18" style="4" customWidth="1"/>
    <col min="5893" max="5893" width="29" style="4" bestFit="1" customWidth="1"/>
    <col min="5894" max="5894" width="13.23046875" style="4" bestFit="1" customWidth="1"/>
    <col min="5895" max="5895" width="12.23046875" style="4" bestFit="1" customWidth="1"/>
    <col min="5896" max="5896" width="24.23046875" style="4" bestFit="1" customWidth="1"/>
    <col min="5897" max="5897" width="10.23046875" style="4"/>
    <col min="5898" max="5898" width="14" style="4" customWidth="1"/>
    <col min="5899" max="5899" width="12" style="4" bestFit="1" customWidth="1"/>
    <col min="5900" max="5900" width="11.53515625" style="4" bestFit="1" customWidth="1"/>
    <col min="5901" max="5901" width="25.765625" style="4" customWidth="1"/>
    <col min="5902" max="6147" width="10.23046875" style="4"/>
    <col min="6148" max="6148" width="18" style="4" customWidth="1"/>
    <col min="6149" max="6149" width="29" style="4" bestFit="1" customWidth="1"/>
    <col min="6150" max="6150" width="13.23046875" style="4" bestFit="1" customWidth="1"/>
    <col min="6151" max="6151" width="12.23046875" style="4" bestFit="1" customWidth="1"/>
    <col min="6152" max="6152" width="24.23046875" style="4" bestFit="1" customWidth="1"/>
    <col min="6153" max="6153" width="10.23046875" style="4"/>
    <col min="6154" max="6154" width="14" style="4" customWidth="1"/>
    <col min="6155" max="6155" width="12" style="4" bestFit="1" customWidth="1"/>
    <col min="6156" max="6156" width="11.53515625" style="4" bestFit="1" customWidth="1"/>
    <col min="6157" max="6157" width="25.765625" style="4" customWidth="1"/>
    <col min="6158" max="6403" width="10.23046875" style="4"/>
    <col min="6404" max="6404" width="18" style="4" customWidth="1"/>
    <col min="6405" max="6405" width="29" style="4" bestFit="1" customWidth="1"/>
    <col min="6406" max="6406" width="13.23046875" style="4" bestFit="1" customWidth="1"/>
    <col min="6407" max="6407" width="12.23046875" style="4" bestFit="1" customWidth="1"/>
    <col min="6408" max="6408" width="24.23046875" style="4" bestFit="1" customWidth="1"/>
    <col min="6409" max="6409" width="10.23046875" style="4"/>
    <col min="6410" max="6410" width="14" style="4" customWidth="1"/>
    <col min="6411" max="6411" width="12" style="4" bestFit="1" customWidth="1"/>
    <col min="6412" max="6412" width="11.53515625" style="4" bestFit="1" customWidth="1"/>
    <col min="6413" max="6413" width="25.765625" style="4" customWidth="1"/>
    <col min="6414" max="6659" width="10.23046875" style="4"/>
    <col min="6660" max="6660" width="18" style="4" customWidth="1"/>
    <col min="6661" max="6661" width="29" style="4" bestFit="1" customWidth="1"/>
    <col min="6662" max="6662" width="13.23046875" style="4" bestFit="1" customWidth="1"/>
    <col min="6663" max="6663" width="12.23046875" style="4" bestFit="1" customWidth="1"/>
    <col min="6664" max="6664" width="24.23046875" style="4" bestFit="1" customWidth="1"/>
    <col min="6665" max="6665" width="10.23046875" style="4"/>
    <col min="6666" max="6666" width="14" style="4" customWidth="1"/>
    <col min="6667" max="6667" width="12" style="4" bestFit="1" customWidth="1"/>
    <col min="6668" max="6668" width="11.53515625" style="4" bestFit="1" customWidth="1"/>
    <col min="6669" max="6669" width="25.765625" style="4" customWidth="1"/>
    <col min="6670" max="6915" width="10.23046875" style="4"/>
    <col min="6916" max="6916" width="18" style="4" customWidth="1"/>
    <col min="6917" max="6917" width="29" style="4" bestFit="1" customWidth="1"/>
    <col min="6918" max="6918" width="13.23046875" style="4" bestFit="1" customWidth="1"/>
    <col min="6919" max="6919" width="12.23046875" style="4" bestFit="1" customWidth="1"/>
    <col min="6920" max="6920" width="24.23046875" style="4" bestFit="1" customWidth="1"/>
    <col min="6921" max="6921" width="10.23046875" style="4"/>
    <col min="6922" max="6922" width="14" style="4" customWidth="1"/>
    <col min="6923" max="6923" width="12" style="4" bestFit="1" customWidth="1"/>
    <col min="6924" max="6924" width="11.53515625" style="4" bestFit="1" customWidth="1"/>
    <col min="6925" max="6925" width="25.765625" style="4" customWidth="1"/>
    <col min="6926" max="7171" width="10.23046875" style="4"/>
    <col min="7172" max="7172" width="18" style="4" customWidth="1"/>
    <col min="7173" max="7173" width="29" style="4" bestFit="1" customWidth="1"/>
    <col min="7174" max="7174" width="13.23046875" style="4" bestFit="1" customWidth="1"/>
    <col min="7175" max="7175" width="12.23046875" style="4" bestFit="1" customWidth="1"/>
    <col min="7176" max="7176" width="24.23046875" style="4" bestFit="1" customWidth="1"/>
    <col min="7177" max="7177" width="10.23046875" style="4"/>
    <col min="7178" max="7178" width="14" style="4" customWidth="1"/>
    <col min="7179" max="7179" width="12" style="4" bestFit="1" customWidth="1"/>
    <col min="7180" max="7180" width="11.53515625" style="4" bestFit="1" customWidth="1"/>
    <col min="7181" max="7181" width="25.765625" style="4" customWidth="1"/>
    <col min="7182" max="7427" width="10.23046875" style="4"/>
    <col min="7428" max="7428" width="18" style="4" customWidth="1"/>
    <col min="7429" max="7429" width="29" style="4" bestFit="1" customWidth="1"/>
    <col min="7430" max="7430" width="13.23046875" style="4" bestFit="1" customWidth="1"/>
    <col min="7431" max="7431" width="12.23046875" style="4" bestFit="1" customWidth="1"/>
    <col min="7432" max="7432" width="24.23046875" style="4" bestFit="1" customWidth="1"/>
    <col min="7433" max="7433" width="10.23046875" style="4"/>
    <col min="7434" max="7434" width="14" style="4" customWidth="1"/>
    <col min="7435" max="7435" width="12" style="4" bestFit="1" customWidth="1"/>
    <col min="7436" max="7436" width="11.53515625" style="4" bestFit="1" customWidth="1"/>
    <col min="7437" max="7437" width="25.765625" style="4" customWidth="1"/>
    <col min="7438" max="7683" width="10.23046875" style="4"/>
    <col min="7684" max="7684" width="18" style="4" customWidth="1"/>
    <col min="7685" max="7685" width="29" style="4" bestFit="1" customWidth="1"/>
    <col min="7686" max="7686" width="13.23046875" style="4" bestFit="1" customWidth="1"/>
    <col min="7687" max="7687" width="12.23046875" style="4" bestFit="1" customWidth="1"/>
    <col min="7688" max="7688" width="24.23046875" style="4" bestFit="1" customWidth="1"/>
    <col min="7689" max="7689" width="10.23046875" style="4"/>
    <col min="7690" max="7690" width="14" style="4" customWidth="1"/>
    <col min="7691" max="7691" width="12" style="4" bestFit="1" customWidth="1"/>
    <col min="7692" max="7692" width="11.53515625" style="4" bestFit="1" customWidth="1"/>
    <col min="7693" max="7693" width="25.765625" style="4" customWidth="1"/>
    <col min="7694" max="7939" width="10.23046875" style="4"/>
    <col min="7940" max="7940" width="18" style="4" customWidth="1"/>
    <col min="7941" max="7941" width="29" style="4" bestFit="1" customWidth="1"/>
    <col min="7942" max="7942" width="13.23046875" style="4" bestFit="1" customWidth="1"/>
    <col min="7943" max="7943" width="12.23046875" style="4" bestFit="1" customWidth="1"/>
    <col min="7944" max="7944" width="24.23046875" style="4" bestFit="1" customWidth="1"/>
    <col min="7945" max="7945" width="10.23046875" style="4"/>
    <col min="7946" max="7946" width="14" style="4" customWidth="1"/>
    <col min="7947" max="7947" width="12" style="4" bestFit="1" customWidth="1"/>
    <col min="7948" max="7948" width="11.53515625" style="4" bestFit="1" customWidth="1"/>
    <col min="7949" max="7949" width="25.765625" style="4" customWidth="1"/>
    <col min="7950" max="8195" width="10.23046875" style="4"/>
    <col min="8196" max="8196" width="18" style="4" customWidth="1"/>
    <col min="8197" max="8197" width="29" style="4" bestFit="1" customWidth="1"/>
    <col min="8198" max="8198" width="13.23046875" style="4" bestFit="1" customWidth="1"/>
    <col min="8199" max="8199" width="12.23046875" style="4" bestFit="1" customWidth="1"/>
    <col min="8200" max="8200" width="24.23046875" style="4" bestFit="1" customWidth="1"/>
    <col min="8201" max="8201" width="10.23046875" style="4"/>
    <col min="8202" max="8202" width="14" style="4" customWidth="1"/>
    <col min="8203" max="8203" width="12" style="4" bestFit="1" customWidth="1"/>
    <col min="8204" max="8204" width="11.53515625" style="4" bestFit="1" customWidth="1"/>
    <col min="8205" max="8205" width="25.765625" style="4" customWidth="1"/>
    <col min="8206" max="8451" width="10.23046875" style="4"/>
    <col min="8452" max="8452" width="18" style="4" customWidth="1"/>
    <col min="8453" max="8453" width="29" style="4" bestFit="1" customWidth="1"/>
    <col min="8454" max="8454" width="13.23046875" style="4" bestFit="1" customWidth="1"/>
    <col min="8455" max="8455" width="12.23046875" style="4" bestFit="1" customWidth="1"/>
    <col min="8456" max="8456" width="24.23046875" style="4" bestFit="1" customWidth="1"/>
    <col min="8457" max="8457" width="10.23046875" style="4"/>
    <col min="8458" max="8458" width="14" style="4" customWidth="1"/>
    <col min="8459" max="8459" width="12" style="4" bestFit="1" customWidth="1"/>
    <col min="8460" max="8460" width="11.53515625" style="4" bestFit="1" customWidth="1"/>
    <col min="8461" max="8461" width="25.765625" style="4" customWidth="1"/>
    <col min="8462" max="8707" width="10.23046875" style="4"/>
    <col min="8708" max="8708" width="18" style="4" customWidth="1"/>
    <col min="8709" max="8709" width="29" style="4" bestFit="1" customWidth="1"/>
    <col min="8710" max="8710" width="13.23046875" style="4" bestFit="1" customWidth="1"/>
    <col min="8711" max="8711" width="12.23046875" style="4" bestFit="1" customWidth="1"/>
    <col min="8712" max="8712" width="24.23046875" style="4" bestFit="1" customWidth="1"/>
    <col min="8713" max="8713" width="10.23046875" style="4"/>
    <col min="8714" max="8714" width="14" style="4" customWidth="1"/>
    <col min="8715" max="8715" width="12" style="4" bestFit="1" customWidth="1"/>
    <col min="8716" max="8716" width="11.53515625" style="4" bestFit="1" customWidth="1"/>
    <col min="8717" max="8717" width="25.765625" style="4" customWidth="1"/>
    <col min="8718" max="8963" width="10.23046875" style="4"/>
    <col min="8964" max="8964" width="18" style="4" customWidth="1"/>
    <col min="8965" max="8965" width="29" style="4" bestFit="1" customWidth="1"/>
    <col min="8966" max="8966" width="13.23046875" style="4" bestFit="1" customWidth="1"/>
    <col min="8967" max="8967" width="12.23046875" style="4" bestFit="1" customWidth="1"/>
    <col min="8968" max="8968" width="24.23046875" style="4" bestFit="1" customWidth="1"/>
    <col min="8969" max="8969" width="10.23046875" style="4"/>
    <col min="8970" max="8970" width="14" style="4" customWidth="1"/>
    <col min="8971" max="8971" width="12" style="4" bestFit="1" customWidth="1"/>
    <col min="8972" max="8972" width="11.53515625" style="4" bestFit="1" customWidth="1"/>
    <col min="8973" max="8973" width="25.765625" style="4" customWidth="1"/>
    <col min="8974" max="9219" width="10.23046875" style="4"/>
    <col min="9220" max="9220" width="18" style="4" customWidth="1"/>
    <col min="9221" max="9221" width="29" style="4" bestFit="1" customWidth="1"/>
    <col min="9222" max="9222" width="13.23046875" style="4" bestFit="1" customWidth="1"/>
    <col min="9223" max="9223" width="12.23046875" style="4" bestFit="1" customWidth="1"/>
    <col min="9224" max="9224" width="24.23046875" style="4" bestFit="1" customWidth="1"/>
    <col min="9225" max="9225" width="10.23046875" style="4"/>
    <col min="9226" max="9226" width="14" style="4" customWidth="1"/>
    <col min="9227" max="9227" width="12" style="4" bestFit="1" customWidth="1"/>
    <col min="9228" max="9228" width="11.53515625" style="4" bestFit="1" customWidth="1"/>
    <col min="9229" max="9229" width="25.765625" style="4" customWidth="1"/>
    <col min="9230" max="9475" width="10.23046875" style="4"/>
    <col min="9476" max="9476" width="18" style="4" customWidth="1"/>
    <col min="9477" max="9477" width="29" style="4" bestFit="1" customWidth="1"/>
    <col min="9478" max="9478" width="13.23046875" style="4" bestFit="1" customWidth="1"/>
    <col min="9479" max="9479" width="12.23046875" style="4" bestFit="1" customWidth="1"/>
    <col min="9480" max="9480" width="24.23046875" style="4" bestFit="1" customWidth="1"/>
    <col min="9481" max="9481" width="10.23046875" style="4"/>
    <col min="9482" max="9482" width="14" style="4" customWidth="1"/>
    <col min="9483" max="9483" width="12" style="4" bestFit="1" customWidth="1"/>
    <col min="9484" max="9484" width="11.53515625" style="4" bestFit="1" customWidth="1"/>
    <col min="9485" max="9485" width="25.765625" style="4" customWidth="1"/>
    <col min="9486" max="9731" width="10.23046875" style="4"/>
    <col min="9732" max="9732" width="18" style="4" customWidth="1"/>
    <col min="9733" max="9733" width="29" style="4" bestFit="1" customWidth="1"/>
    <col min="9734" max="9734" width="13.23046875" style="4" bestFit="1" customWidth="1"/>
    <col min="9735" max="9735" width="12.23046875" style="4" bestFit="1" customWidth="1"/>
    <col min="9736" max="9736" width="24.23046875" style="4" bestFit="1" customWidth="1"/>
    <col min="9737" max="9737" width="10.23046875" style="4"/>
    <col min="9738" max="9738" width="14" style="4" customWidth="1"/>
    <col min="9739" max="9739" width="12" style="4" bestFit="1" customWidth="1"/>
    <col min="9740" max="9740" width="11.53515625" style="4" bestFit="1" customWidth="1"/>
    <col min="9741" max="9741" width="25.765625" style="4" customWidth="1"/>
    <col min="9742" max="9987" width="10.23046875" style="4"/>
    <col min="9988" max="9988" width="18" style="4" customWidth="1"/>
    <col min="9989" max="9989" width="29" style="4" bestFit="1" customWidth="1"/>
    <col min="9990" max="9990" width="13.23046875" style="4" bestFit="1" customWidth="1"/>
    <col min="9991" max="9991" width="12.23046875" style="4" bestFit="1" customWidth="1"/>
    <col min="9992" max="9992" width="24.23046875" style="4" bestFit="1" customWidth="1"/>
    <col min="9993" max="9993" width="10.23046875" style="4"/>
    <col min="9994" max="9994" width="14" style="4" customWidth="1"/>
    <col min="9995" max="9995" width="12" style="4" bestFit="1" customWidth="1"/>
    <col min="9996" max="9996" width="11.53515625" style="4" bestFit="1" customWidth="1"/>
    <col min="9997" max="9997" width="25.765625" style="4" customWidth="1"/>
    <col min="9998" max="10243" width="10.23046875" style="4"/>
    <col min="10244" max="10244" width="18" style="4" customWidth="1"/>
    <col min="10245" max="10245" width="29" style="4" bestFit="1" customWidth="1"/>
    <col min="10246" max="10246" width="13.23046875" style="4" bestFit="1" customWidth="1"/>
    <col min="10247" max="10247" width="12.23046875" style="4" bestFit="1" customWidth="1"/>
    <col min="10248" max="10248" width="24.23046875" style="4" bestFit="1" customWidth="1"/>
    <col min="10249" max="10249" width="10.23046875" style="4"/>
    <col min="10250" max="10250" width="14" style="4" customWidth="1"/>
    <col min="10251" max="10251" width="12" style="4" bestFit="1" customWidth="1"/>
    <col min="10252" max="10252" width="11.53515625" style="4" bestFit="1" customWidth="1"/>
    <col min="10253" max="10253" width="25.765625" style="4" customWidth="1"/>
    <col min="10254" max="10499" width="10.23046875" style="4"/>
    <col min="10500" max="10500" width="18" style="4" customWidth="1"/>
    <col min="10501" max="10501" width="29" style="4" bestFit="1" customWidth="1"/>
    <col min="10502" max="10502" width="13.23046875" style="4" bestFit="1" customWidth="1"/>
    <col min="10503" max="10503" width="12.23046875" style="4" bestFit="1" customWidth="1"/>
    <col min="10504" max="10504" width="24.23046875" style="4" bestFit="1" customWidth="1"/>
    <col min="10505" max="10505" width="10.23046875" style="4"/>
    <col min="10506" max="10506" width="14" style="4" customWidth="1"/>
    <col min="10507" max="10507" width="12" style="4" bestFit="1" customWidth="1"/>
    <col min="10508" max="10508" width="11.53515625" style="4" bestFit="1" customWidth="1"/>
    <col min="10509" max="10509" width="25.765625" style="4" customWidth="1"/>
    <col min="10510" max="10755" width="10.23046875" style="4"/>
    <col min="10756" max="10756" width="18" style="4" customWidth="1"/>
    <col min="10757" max="10757" width="29" style="4" bestFit="1" customWidth="1"/>
    <col min="10758" max="10758" width="13.23046875" style="4" bestFit="1" customWidth="1"/>
    <col min="10759" max="10759" width="12.23046875" style="4" bestFit="1" customWidth="1"/>
    <col min="10760" max="10760" width="24.23046875" style="4" bestFit="1" customWidth="1"/>
    <col min="10761" max="10761" width="10.23046875" style="4"/>
    <col min="10762" max="10762" width="14" style="4" customWidth="1"/>
    <col min="10763" max="10763" width="12" style="4" bestFit="1" customWidth="1"/>
    <col min="10764" max="10764" width="11.53515625" style="4" bestFit="1" customWidth="1"/>
    <col min="10765" max="10765" width="25.765625" style="4" customWidth="1"/>
    <col min="10766" max="11011" width="10.23046875" style="4"/>
    <col min="11012" max="11012" width="18" style="4" customWidth="1"/>
    <col min="11013" max="11013" width="29" style="4" bestFit="1" customWidth="1"/>
    <col min="11014" max="11014" width="13.23046875" style="4" bestFit="1" customWidth="1"/>
    <col min="11015" max="11015" width="12.23046875" style="4" bestFit="1" customWidth="1"/>
    <col min="11016" max="11016" width="24.23046875" style="4" bestFit="1" customWidth="1"/>
    <col min="11017" max="11017" width="10.23046875" style="4"/>
    <col min="11018" max="11018" width="14" style="4" customWidth="1"/>
    <col min="11019" max="11019" width="12" style="4" bestFit="1" customWidth="1"/>
    <col min="11020" max="11020" width="11.53515625" style="4" bestFit="1" customWidth="1"/>
    <col min="11021" max="11021" width="25.765625" style="4" customWidth="1"/>
    <col min="11022" max="11267" width="10.23046875" style="4"/>
    <col min="11268" max="11268" width="18" style="4" customWidth="1"/>
    <col min="11269" max="11269" width="29" style="4" bestFit="1" customWidth="1"/>
    <col min="11270" max="11270" width="13.23046875" style="4" bestFit="1" customWidth="1"/>
    <col min="11271" max="11271" width="12.23046875" style="4" bestFit="1" customWidth="1"/>
    <col min="11272" max="11272" width="24.23046875" style="4" bestFit="1" customWidth="1"/>
    <col min="11273" max="11273" width="10.23046875" style="4"/>
    <col min="11274" max="11274" width="14" style="4" customWidth="1"/>
    <col min="11275" max="11275" width="12" style="4" bestFit="1" customWidth="1"/>
    <col min="11276" max="11276" width="11.53515625" style="4" bestFit="1" customWidth="1"/>
    <col min="11277" max="11277" width="25.765625" style="4" customWidth="1"/>
    <col min="11278" max="11523" width="10.23046875" style="4"/>
    <col min="11524" max="11524" width="18" style="4" customWidth="1"/>
    <col min="11525" max="11525" width="29" style="4" bestFit="1" customWidth="1"/>
    <col min="11526" max="11526" width="13.23046875" style="4" bestFit="1" customWidth="1"/>
    <col min="11527" max="11527" width="12.23046875" style="4" bestFit="1" customWidth="1"/>
    <col min="11528" max="11528" width="24.23046875" style="4" bestFit="1" customWidth="1"/>
    <col min="11529" max="11529" width="10.23046875" style="4"/>
    <col min="11530" max="11530" width="14" style="4" customWidth="1"/>
    <col min="11531" max="11531" width="12" style="4" bestFit="1" customWidth="1"/>
    <col min="11532" max="11532" width="11.53515625" style="4" bestFit="1" customWidth="1"/>
    <col min="11533" max="11533" width="25.765625" style="4" customWidth="1"/>
    <col min="11534" max="11779" width="10.23046875" style="4"/>
    <col min="11780" max="11780" width="18" style="4" customWidth="1"/>
    <col min="11781" max="11781" width="29" style="4" bestFit="1" customWidth="1"/>
    <col min="11782" max="11782" width="13.23046875" style="4" bestFit="1" customWidth="1"/>
    <col min="11783" max="11783" width="12.23046875" style="4" bestFit="1" customWidth="1"/>
    <col min="11784" max="11784" width="24.23046875" style="4" bestFit="1" customWidth="1"/>
    <col min="11785" max="11785" width="10.23046875" style="4"/>
    <col min="11786" max="11786" width="14" style="4" customWidth="1"/>
    <col min="11787" max="11787" width="12" style="4" bestFit="1" customWidth="1"/>
    <col min="11788" max="11788" width="11.53515625" style="4" bestFit="1" customWidth="1"/>
    <col min="11789" max="11789" width="25.765625" style="4" customWidth="1"/>
    <col min="11790" max="12035" width="10.23046875" style="4"/>
    <col min="12036" max="12036" width="18" style="4" customWidth="1"/>
    <col min="12037" max="12037" width="29" style="4" bestFit="1" customWidth="1"/>
    <col min="12038" max="12038" width="13.23046875" style="4" bestFit="1" customWidth="1"/>
    <col min="12039" max="12039" width="12.23046875" style="4" bestFit="1" customWidth="1"/>
    <col min="12040" max="12040" width="24.23046875" style="4" bestFit="1" customWidth="1"/>
    <col min="12041" max="12041" width="10.23046875" style="4"/>
    <col min="12042" max="12042" width="14" style="4" customWidth="1"/>
    <col min="12043" max="12043" width="12" style="4" bestFit="1" customWidth="1"/>
    <col min="12044" max="12044" width="11.53515625" style="4" bestFit="1" customWidth="1"/>
    <col min="12045" max="12045" width="25.765625" style="4" customWidth="1"/>
    <col min="12046" max="12291" width="10.23046875" style="4"/>
    <col min="12292" max="12292" width="18" style="4" customWidth="1"/>
    <col min="12293" max="12293" width="29" style="4" bestFit="1" customWidth="1"/>
    <col min="12294" max="12294" width="13.23046875" style="4" bestFit="1" customWidth="1"/>
    <col min="12295" max="12295" width="12.23046875" style="4" bestFit="1" customWidth="1"/>
    <col min="12296" max="12296" width="24.23046875" style="4" bestFit="1" customWidth="1"/>
    <col min="12297" max="12297" width="10.23046875" style="4"/>
    <col min="12298" max="12298" width="14" style="4" customWidth="1"/>
    <col min="12299" max="12299" width="12" style="4" bestFit="1" customWidth="1"/>
    <col min="12300" max="12300" width="11.53515625" style="4" bestFit="1" customWidth="1"/>
    <col min="12301" max="12301" width="25.765625" style="4" customWidth="1"/>
    <col min="12302" max="12547" width="10.23046875" style="4"/>
    <col min="12548" max="12548" width="18" style="4" customWidth="1"/>
    <col min="12549" max="12549" width="29" style="4" bestFit="1" customWidth="1"/>
    <col min="12550" max="12550" width="13.23046875" style="4" bestFit="1" customWidth="1"/>
    <col min="12551" max="12551" width="12.23046875" style="4" bestFit="1" customWidth="1"/>
    <col min="12552" max="12552" width="24.23046875" style="4" bestFit="1" customWidth="1"/>
    <col min="12553" max="12553" width="10.23046875" style="4"/>
    <col min="12554" max="12554" width="14" style="4" customWidth="1"/>
    <col min="12555" max="12555" width="12" style="4" bestFit="1" customWidth="1"/>
    <col min="12556" max="12556" width="11.53515625" style="4" bestFit="1" customWidth="1"/>
    <col min="12557" max="12557" width="25.765625" style="4" customWidth="1"/>
    <col min="12558" max="12803" width="10.23046875" style="4"/>
    <col min="12804" max="12804" width="18" style="4" customWidth="1"/>
    <col min="12805" max="12805" width="29" style="4" bestFit="1" customWidth="1"/>
    <col min="12806" max="12806" width="13.23046875" style="4" bestFit="1" customWidth="1"/>
    <col min="12807" max="12807" width="12.23046875" style="4" bestFit="1" customWidth="1"/>
    <col min="12808" max="12808" width="24.23046875" style="4" bestFit="1" customWidth="1"/>
    <col min="12809" max="12809" width="10.23046875" style="4"/>
    <col min="12810" max="12810" width="14" style="4" customWidth="1"/>
    <col min="12811" max="12811" width="12" style="4" bestFit="1" customWidth="1"/>
    <col min="12812" max="12812" width="11.53515625" style="4" bestFit="1" customWidth="1"/>
    <col min="12813" max="12813" width="25.765625" style="4" customWidth="1"/>
    <col min="12814" max="13059" width="10.23046875" style="4"/>
    <col min="13060" max="13060" width="18" style="4" customWidth="1"/>
    <col min="13061" max="13061" width="29" style="4" bestFit="1" customWidth="1"/>
    <col min="13062" max="13062" width="13.23046875" style="4" bestFit="1" customWidth="1"/>
    <col min="13063" max="13063" width="12.23046875" style="4" bestFit="1" customWidth="1"/>
    <col min="13064" max="13064" width="24.23046875" style="4" bestFit="1" customWidth="1"/>
    <col min="13065" max="13065" width="10.23046875" style="4"/>
    <col min="13066" max="13066" width="14" style="4" customWidth="1"/>
    <col min="13067" max="13067" width="12" style="4" bestFit="1" customWidth="1"/>
    <col min="13068" max="13068" width="11.53515625" style="4" bestFit="1" customWidth="1"/>
    <col min="13069" max="13069" width="25.765625" style="4" customWidth="1"/>
    <col min="13070" max="13315" width="10.23046875" style="4"/>
    <col min="13316" max="13316" width="18" style="4" customWidth="1"/>
    <col min="13317" max="13317" width="29" style="4" bestFit="1" customWidth="1"/>
    <col min="13318" max="13318" width="13.23046875" style="4" bestFit="1" customWidth="1"/>
    <col min="13319" max="13319" width="12.23046875" style="4" bestFit="1" customWidth="1"/>
    <col min="13320" max="13320" width="24.23046875" style="4" bestFit="1" customWidth="1"/>
    <col min="13321" max="13321" width="10.23046875" style="4"/>
    <col min="13322" max="13322" width="14" style="4" customWidth="1"/>
    <col min="13323" max="13323" width="12" style="4" bestFit="1" customWidth="1"/>
    <col min="13324" max="13324" width="11.53515625" style="4" bestFit="1" customWidth="1"/>
    <col min="13325" max="13325" width="25.765625" style="4" customWidth="1"/>
    <col min="13326" max="13571" width="10.23046875" style="4"/>
    <col min="13572" max="13572" width="18" style="4" customWidth="1"/>
    <col min="13573" max="13573" width="29" style="4" bestFit="1" customWidth="1"/>
    <col min="13574" max="13574" width="13.23046875" style="4" bestFit="1" customWidth="1"/>
    <col min="13575" max="13575" width="12.23046875" style="4" bestFit="1" customWidth="1"/>
    <col min="13576" max="13576" width="24.23046875" style="4" bestFit="1" customWidth="1"/>
    <col min="13577" max="13577" width="10.23046875" style="4"/>
    <col min="13578" max="13578" width="14" style="4" customWidth="1"/>
    <col min="13579" max="13579" width="12" style="4" bestFit="1" customWidth="1"/>
    <col min="13580" max="13580" width="11.53515625" style="4" bestFit="1" customWidth="1"/>
    <col min="13581" max="13581" width="25.765625" style="4" customWidth="1"/>
    <col min="13582" max="13827" width="10.23046875" style="4"/>
    <col min="13828" max="13828" width="18" style="4" customWidth="1"/>
    <col min="13829" max="13829" width="29" style="4" bestFit="1" customWidth="1"/>
    <col min="13830" max="13830" width="13.23046875" style="4" bestFit="1" customWidth="1"/>
    <col min="13831" max="13831" width="12.23046875" style="4" bestFit="1" customWidth="1"/>
    <col min="13832" max="13832" width="24.23046875" style="4" bestFit="1" customWidth="1"/>
    <col min="13833" max="13833" width="10.23046875" style="4"/>
    <col min="13834" max="13834" width="14" style="4" customWidth="1"/>
    <col min="13835" max="13835" width="12" style="4" bestFit="1" customWidth="1"/>
    <col min="13836" max="13836" width="11.53515625" style="4" bestFit="1" customWidth="1"/>
    <col min="13837" max="13837" width="25.765625" style="4" customWidth="1"/>
    <col min="13838" max="14083" width="10.23046875" style="4"/>
    <col min="14084" max="14084" width="18" style="4" customWidth="1"/>
    <col min="14085" max="14085" width="29" style="4" bestFit="1" customWidth="1"/>
    <col min="14086" max="14086" width="13.23046875" style="4" bestFit="1" customWidth="1"/>
    <col min="14087" max="14087" width="12.23046875" style="4" bestFit="1" customWidth="1"/>
    <col min="14088" max="14088" width="24.23046875" style="4" bestFit="1" customWidth="1"/>
    <col min="14089" max="14089" width="10.23046875" style="4"/>
    <col min="14090" max="14090" width="14" style="4" customWidth="1"/>
    <col min="14091" max="14091" width="12" style="4" bestFit="1" customWidth="1"/>
    <col min="14092" max="14092" width="11.53515625" style="4" bestFit="1" customWidth="1"/>
    <col min="14093" max="14093" width="25.765625" style="4" customWidth="1"/>
    <col min="14094" max="14339" width="10.23046875" style="4"/>
    <col min="14340" max="14340" width="18" style="4" customWidth="1"/>
    <col min="14341" max="14341" width="29" style="4" bestFit="1" customWidth="1"/>
    <col min="14342" max="14342" width="13.23046875" style="4" bestFit="1" customWidth="1"/>
    <col min="14343" max="14343" width="12.23046875" style="4" bestFit="1" customWidth="1"/>
    <col min="14344" max="14344" width="24.23046875" style="4" bestFit="1" customWidth="1"/>
    <col min="14345" max="14345" width="10.23046875" style="4"/>
    <col min="14346" max="14346" width="14" style="4" customWidth="1"/>
    <col min="14347" max="14347" width="12" style="4" bestFit="1" customWidth="1"/>
    <col min="14348" max="14348" width="11.53515625" style="4" bestFit="1" customWidth="1"/>
    <col min="14349" max="14349" width="25.765625" style="4" customWidth="1"/>
    <col min="14350" max="14595" width="10.23046875" style="4"/>
    <col min="14596" max="14596" width="18" style="4" customWidth="1"/>
    <col min="14597" max="14597" width="29" style="4" bestFit="1" customWidth="1"/>
    <col min="14598" max="14598" width="13.23046875" style="4" bestFit="1" customWidth="1"/>
    <col min="14599" max="14599" width="12.23046875" style="4" bestFit="1" customWidth="1"/>
    <col min="14600" max="14600" width="24.23046875" style="4" bestFit="1" customWidth="1"/>
    <col min="14601" max="14601" width="10.23046875" style="4"/>
    <col min="14602" max="14602" width="14" style="4" customWidth="1"/>
    <col min="14603" max="14603" width="12" style="4" bestFit="1" customWidth="1"/>
    <col min="14604" max="14604" width="11.53515625" style="4" bestFit="1" customWidth="1"/>
    <col min="14605" max="14605" width="25.765625" style="4" customWidth="1"/>
    <col min="14606" max="14851" width="10.23046875" style="4"/>
    <col min="14852" max="14852" width="18" style="4" customWidth="1"/>
    <col min="14853" max="14853" width="29" style="4" bestFit="1" customWidth="1"/>
    <col min="14854" max="14854" width="13.23046875" style="4" bestFit="1" customWidth="1"/>
    <col min="14855" max="14855" width="12.23046875" style="4" bestFit="1" customWidth="1"/>
    <col min="14856" max="14856" width="24.23046875" style="4" bestFit="1" customWidth="1"/>
    <col min="14857" max="14857" width="10.23046875" style="4"/>
    <col min="14858" max="14858" width="14" style="4" customWidth="1"/>
    <col min="14859" max="14859" width="12" style="4" bestFit="1" customWidth="1"/>
    <col min="14860" max="14860" width="11.53515625" style="4" bestFit="1" customWidth="1"/>
    <col min="14861" max="14861" width="25.765625" style="4" customWidth="1"/>
    <col min="14862" max="15107" width="10.23046875" style="4"/>
    <col min="15108" max="15108" width="18" style="4" customWidth="1"/>
    <col min="15109" max="15109" width="29" style="4" bestFit="1" customWidth="1"/>
    <col min="15110" max="15110" width="13.23046875" style="4" bestFit="1" customWidth="1"/>
    <col min="15111" max="15111" width="12.23046875" style="4" bestFit="1" customWidth="1"/>
    <col min="15112" max="15112" width="24.23046875" style="4" bestFit="1" customWidth="1"/>
    <col min="15113" max="15113" width="10.23046875" style="4"/>
    <col min="15114" max="15114" width="14" style="4" customWidth="1"/>
    <col min="15115" max="15115" width="12" style="4" bestFit="1" customWidth="1"/>
    <col min="15116" max="15116" width="11.53515625" style="4" bestFit="1" customWidth="1"/>
    <col min="15117" max="15117" width="25.765625" style="4" customWidth="1"/>
    <col min="15118" max="15363" width="10.23046875" style="4"/>
    <col min="15364" max="15364" width="18" style="4" customWidth="1"/>
    <col min="15365" max="15365" width="29" style="4" bestFit="1" customWidth="1"/>
    <col min="15366" max="15366" width="13.23046875" style="4" bestFit="1" customWidth="1"/>
    <col min="15367" max="15367" width="12.23046875" style="4" bestFit="1" customWidth="1"/>
    <col min="15368" max="15368" width="24.23046875" style="4" bestFit="1" customWidth="1"/>
    <col min="15369" max="15369" width="10.23046875" style="4"/>
    <col min="15370" max="15370" width="14" style="4" customWidth="1"/>
    <col min="15371" max="15371" width="12" style="4" bestFit="1" customWidth="1"/>
    <col min="15372" max="15372" width="11.53515625" style="4" bestFit="1" customWidth="1"/>
    <col min="15373" max="15373" width="25.765625" style="4" customWidth="1"/>
    <col min="15374" max="15619" width="10.23046875" style="4"/>
    <col min="15620" max="15620" width="18" style="4" customWidth="1"/>
    <col min="15621" max="15621" width="29" style="4" bestFit="1" customWidth="1"/>
    <col min="15622" max="15622" width="13.23046875" style="4" bestFit="1" customWidth="1"/>
    <col min="15623" max="15623" width="12.23046875" style="4" bestFit="1" customWidth="1"/>
    <col min="15624" max="15624" width="24.23046875" style="4" bestFit="1" customWidth="1"/>
    <col min="15625" max="15625" width="10.23046875" style="4"/>
    <col min="15626" max="15626" width="14" style="4" customWidth="1"/>
    <col min="15627" max="15627" width="12" style="4" bestFit="1" customWidth="1"/>
    <col min="15628" max="15628" width="11.53515625" style="4" bestFit="1" customWidth="1"/>
    <col min="15629" max="15629" width="25.765625" style="4" customWidth="1"/>
    <col min="15630" max="15875" width="10.23046875" style="4"/>
    <col min="15876" max="15876" width="18" style="4" customWidth="1"/>
    <col min="15877" max="15877" width="29" style="4" bestFit="1" customWidth="1"/>
    <col min="15878" max="15878" width="13.23046875" style="4" bestFit="1" customWidth="1"/>
    <col min="15879" max="15879" width="12.23046875" style="4" bestFit="1" customWidth="1"/>
    <col min="15880" max="15880" width="24.23046875" style="4" bestFit="1" customWidth="1"/>
    <col min="15881" max="15881" width="10.23046875" style="4"/>
    <col min="15882" max="15882" width="14" style="4" customWidth="1"/>
    <col min="15883" max="15883" width="12" style="4" bestFit="1" customWidth="1"/>
    <col min="15884" max="15884" width="11.53515625" style="4" bestFit="1" customWidth="1"/>
    <col min="15885" max="15885" width="25.765625" style="4" customWidth="1"/>
    <col min="15886" max="16131" width="10.23046875" style="4"/>
    <col min="16132" max="16132" width="18" style="4" customWidth="1"/>
    <col min="16133" max="16133" width="29" style="4" bestFit="1" customWidth="1"/>
    <col min="16134" max="16134" width="13.23046875" style="4" bestFit="1" customWidth="1"/>
    <col min="16135" max="16135" width="12.23046875" style="4" bestFit="1" customWidth="1"/>
    <col min="16136" max="16136" width="24.23046875" style="4" bestFit="1" customWidth="1"/>
    <col min="16137" max="16137" width="10.23046875" style="4"/>
    <col min="16138" max="16138" width="14" style="4" customWidth="1"/>
    <col min="16139" max="16139" width="12" style="4" bestFit="1" customWidth="1"/>
    <col min="16140" max="16140" width="11.53515625" style="4" bestFit="1" customWidth="1"/>
    <col min="16141" max="16141" width="25.765625" style="4" customWidth="1"/>
    <col min="16142" max="16384" width="10.23046875" style="4"/>
  </cols>
  <sheetData>
    <row r="1" spans="2:11" ht="15.45" thickBot="1" x14ac:dyDescent="0.4"/>
    <row r="2" spans="2:11" ht="19.75" x14ac:dyDescent="0.4">
      <c r="C2" s="163" t="s">
        <v>3</v>
      </c>
      <c r="D2" s="187" t="s">
        <v>480</v>
      </c>
      <c r="E2" s="80"/>
      <c r="F2" s="80"/>
      <c r="G2" s="80"/>
      <c r="H2" s="80"/>
      <c r="I2" s="80"/>
      <c r="J2" s="5"/>
      <c r="K2" s="5"/>
    </row>
    <row r="3" spans="2:11" ht="18.45" x14ac:dyDescent="0.4">
      <c r="C3" s="290" t="s">
        <v>476</v>
      </c>
      <c r="D3" s="136">
        <f>$H$19</f>
        <v>683.75</v>
      </c>
      <c r="E3" s="80"/>
      <c r="F3" s="80"/>
      <c r="G3" s="80"/>
      <c r="H3" s="80"/>
      <c r="I3" s="80"/>
      <c r="J3" s="5"/>
      <c r="K3" s="5"/>
    </row>
    <row r="4" spans="2:11" ht="18.45" x14ac:dyDescent="0.4">
      <c r="C4" s="290" t="s">
        <v>478</v>
      </c>
      <c r="D4" s="136">
        <f>$H$37</f>
        <v>146.26071428571427</v>
      </c>
      <c r="E4" s="80"/>
      <c r="F4" s="80"/>
      <c r="G4" s="80"/>
      <c r="H4" s="80"/>
      <c r="I4" s="80"/>
      <c r="J4" s="5"/>
      <c r="K4" s="5"/>
    </row>
    <row r="5" spans="2:11" ht="20.149999999999999" thickBot="1" x14ac:dyDescent="0.4">
      <c r="C5" s="189" t="s">
        <v>2</v>
      </c>
      <c r="D5" s="532">
        <f>SUM(D3:D4)</f>
        <v>830.01071428571424</v>
      </c>
      <c r="E5" s="80"/>
      <c r="F5" s="80"/>
      <c r="G5" s="80"/>
      <c r="H5" s="80"/>
    </row>
    <row r="6" spans="2:11" ht="20.149999999999999" thickBot="1" x14ac:dyDescent="0.4">
      <c r="C6" s="139"/>
      <c r="D6" s="117"/>
      <c r="E6" s="80"/>
      <c r="F6" s="80"/>
      <c r="G6" s="80"/>
      <c r="H6" s="80"/>
    </row>
    <row r="7" spans="2:11" ht="19.75" x14ac:dyDescent="0.35">
      <c r="C7" s="163" t="s">
        <v>3</v>
      </c>
      <c r="D7" s="187" t="s">
        <v>223</v>
      </c>
      <c r="E7" s="80"/>
      <c r="F7" s="80"/>
      <c r="G7" s="80"/>
      <c r="H7" s="80"/>
    </row>
    <row r="8" spans="2:11" ht="18.45" x14ac:dyDescent="0.35">
      <c r="C8" s="290" t="s">
        <v>477</v>
      </c>
      <c r="D8" s="136">
        <f>$H$28</f>
        <v>1732.5000000000002</v>
      </c>
      <c r="E8" s="80"/>
      <c r="F8" s="80"/>
      <c r="G8" s="80"/>
      <c r="H8" s="80"/>
    </row>
    <row r="9" spans="2:11" ht="18.45" x14ac:dyDescent="0.35">
      <c r="C9" s="290" t="s">
        <v>479</v>
      </c>
      <c r="D9" s="136">
        <f>$H$46</f>
        <v>762.3</v>
      </c>
      <c r="E9" s="80"/>
      <c r="F9" s="80"/>
      <c r="G9" s="80"/>
      <c r="H9" s="80"/>
    </row>
    <row r="10" spans="2:11" ht="20.149999999999999" thickBot="1" x14ac:dyDescent="0.4">
      <c r="C10" s="189" t="s">
        <v>2</v>
      </c>
      <c r="D10" s="397">
        <f>SUM(D8:D9)</f>
        <v>2494.8000000000002</v>
      </c>
      <c r="E10" s="80"/>
      <c r="F10" s="129"/>
      <c r="G10" s="80"/>
      <c r="H10" s="80"/>
    </row>
    <row r="11" spans="2:11" ht="19.75" x14ac:dyDescent="0.35">
      <c r="C11" s="116"/>
      <c r="D11" s="117"/>
      <c r="E11" s="80"/>
      <c r="F11" s="129"/>
      <c r="G11" s="80"/>
      <c r="H11" s="80"/>
    </row>
    <row r="12" spans="2:11" ht="18.899999999999999" thickBot="1" x14ac:dyDescent="0.4">
      <c r="C12" s="80"/>
      <c r="D12" s="80"/>
      <c r="E12" s="80"/>
      <c r="F12" s="80"/>
      <c r="G12" s="80"/>
      <c r="H12" s="80"/>
    </row>
    <row r="13" spans="2:11" ht="20.149999999999999" thickBot="1" x14ac:dyDescent="0.4">
      <c r="B13" s="787" t="s">
        <v>476</v>
      </c>
      <c r="C13" s="788"/>
      <c r="D13" s="788"/>
      <c r="E13" s="788"/>
      <c r="F13" s="788"/>
      <c r="G13" s="788"/>
      <c r="H13" s="789"/>
    </row>
    <row r="14" spans="2:11" ht="18.45" customHeight="1" x14ac:dyDescent="0.35">
      <c r="B14" s="777" t="s">
        <v>65</v>
      </c>
      <c r="C14" s="791" t="s">
        <v>3</v>
      </c>
      <c r="D14" s="779" t="s">
        <v>38</v>
      </c>
      <c r="E14" s="779" t="s">
        <v>485</v>
      </c>
      <c r="F14" s="779" t="s">
        <v>328</v>
      </c>
      <c r="G14" s="202" t="s">
        <v>12</v>
      </c>
      <c r="H14" s="779" t="s">
        <v>10</v>
      </c>
    </row>
    <row r="15" spans="2:11" ht="18.899999999999999" thickBot="1" x14ac:dyDescent="0.4">
      <c r="B15" s="778"/>
      <c r="C15" s="792"/>
      <c r="D15" s="780"/>
      <c r="E15" s="780"/>
      <c r="F15" s="780"/>
      <c r="G15" s="203" t="s">
        <v>62</v>
      </c>
      <c r="H15" s="780"/>
    </row>
    <row r="16" spans="2:11" ht="18.45" x14ac:dyDescent="0.35">
      <c r="B16" s="118">
        <v>1</v>
      </c>
      <c r="C16" s="119" t="s">
        <v>5917</v>
      </c>
      <c r="D16" s="120" t="s">
        <v>484</v>
      </c>
      <c r="E16" s="120">
        <f>'برآوردهاي پايه'!$D$99*هزار*'داده‌های ورودی'!$D$21/'برآوردهاي پايه'!$D$97</f>
        <v>1837.5</v>
      </c>
      <c r="F16" s="120">
        <f>'برآوردهاي پايه'!$D$99*هزار*'داده‌های ورودی'!$D$21/'برآوردهاي پايه'!$D$97</f>
        <v>1837.5</v>
      </c>
      <c r="G16" s="120">
        <v>100</v>
      </c>
      <c r="H16" s="121">
        <f>F16*G16/هزار</f>
        <v>183.75</v>
      </c>
    </row>
    <row r="17" spans="2:8" ht="18.45" x14ac:dyDescent="0.35">
      <c r="B17" s="112">
        <v>2</v>
      </c>
      <c r="C17" s="119" t="s">
        <v>5916</v>
      </c>
      <c r="D17" s="120" t="s">
        <v>484</v>
      </c>
      <c r="E17" s="120">
        <v>5000</v>
      </c>
      <c r="F17" s="120">
        <f>E17</f>
        <v>5000</v>
      </c>
      <c r="G17" s="120">
        <v>100</v>
      </c>
      <c r="H17" s="121">
        <f>F17*G17/هزار</f>
        <v>500</v>
      </c>
    </row>
    <row r="18" spans="2:8" ht="18.899999999999999" thickBot="1" x14ac:dyDescent="0.4">
      <c r="B18" s="124">
        <v>3</v>
      </c>
      <c r="C18" s="125"/>
      <c r="D18" s="125"/>
      <c r="E18" s="125"/>
      <c r="F18" s="125"/>
      <c r="G18" s="125"/>
      <c r="H18" s="126"/>
    </row>
    <row r="19" spans="2:8" ht="20.149999999999999" thickBot="1" x14ac:dyDescent="0.4">
      <c r="B19" s="784" t="s">
        <v>2</v>
      </c>
      <c r="C19" s="785"/>
      <c r="D19" s="785"/>
      <c r="E19" s="785"/>
      <c r="F19" s="785"/>
      <c r="G19" s="786"/>
      <c r="H19" s="200">
        <f>SUM(H16:H18)</f>
        <v>683.75</v>
      </c>
    </row>
    <row r="20" spans="2:8" ht="19.75" x14ac:dyDescent="0.35">
      <c r="B20" s="114"/>
      <c r="C20" s="114"/>
      <c r="D20" s="114"/>
      <c r="E20" s="114"/>
      <c r="F20" s="114"/>
      <c r="G20" s="114"/>
      <c r="H20" s="92"/>
    </row>
    <row r="21" spans="2:8" ht="20.149999999999999" thickBot="1" x14ac:dyDescent="0.4">
      <c r="B21" s="114"/>
      <c r="C21" s="114"/>
      <c r="D21" s="114"/>
      <c r="E21" s="114"/>
      <c r="F21" s="114"/>
      <c r="G21" s="114"/>
      <c r="H21" s="92"/>
    </row>
    <row r="22" spans="2:8" ht="20.149999999999999" thickBot="1" x14ac:dyDescent="0.4">
      <c r="B22" s="787" t="s">
        <v>477</v>
      </c>
      <c r="C22" s="788"/>
      <c r="D22" s="788"/>
      <c r="E22" s="788"/>
      <c r="F22" s="788"/>
      <c r="G22" s="788"/>
      <c r="H22" s="789"/>
    </row>
    <row r="23" spans="2:8" ht="18.45" x14ac:dyDescent="0.35">
      <c r="B23" s="779" t="s">
        <v>65</v>
      </c>
      <c r="C23" s="779" t="s">
        <v>3</v>
      </c>
      <c r="D23" s="779" t="s">
        <v>38</v>
      </c>
      <c r="E23" s="779" t="s">
        <v>485</v>
      </c>
      <c r="F23" s="779" t="s">
        <v>328</v>
      </c>
      <c r="G23" s="202" t="s">
        <v>12</v>
      </c>
      <c r="H23" s="779" t="s">
        <v>61</v>
      </c>
    </row>
    <row r="24" spans="2:8" ht="18.899999999999999" thickBot="1" x14ac:dyDescent="0.4">
      <c r="B24" s="780"/>
      <c r="C24" s="790"/>
      <c r="D24" s="790"/>
      <c r="E24" s="780"/>
      <c r="F24" s="780"/>
      <c r="G24" s="204" t="s">
        <v>11</v>
      </c>
      <c r="H24" s="790"/>
    </row>
    <row r="25" spans="2:8" ht="18.45" x14ac:dyDescent="0.35">
      <c r="B25" s="118">
        <v>1</v>
      </c>
      <c r="C25" s="83" t="s">
        <v>222</v>
      </c>
      <c r="D25" s="84" t="s">
        <v>484</v>
      </c>
      <c r="E25" s="108">
        <f>'برآوردهاي پايه'!$D$100*'داده‌های ورودی'!$D$21/'برآوردهاي پايه'!$D$97*هزار</f>
        <v>787.5</v>
      </c>
      <c r="F25" s="108">
        <f>'برآوردهاي پايه'!$D$100*'داده‌های ورودی'!$D$21/'برآوردهاي پايه'!$D$97*هزار</f>
        <v>787.5</v>
      </c>
      <c r="G25" s="115">
        <v>2.2000000000000002</v>
      </c>
      <c r="H25" s="109">
        <f>F25*G25</f>
        <v>1732.5000000000002</v>
      </c>
    </row>
    <row r="26" spans="2:8" ht="18.45" x14ac:dyDescent="0.35">
      <c r="B26" s="112">
        <v>2</v>
      </c>
      <c r="C26" s="111"/>
      <c r="D26" s="111"/>
      <c r="E26" s="111"/>
      <c r="F26" s="111"/>
      <c r="G26" s="111"/>
      <c r="H26" s="113"/>
    </row>
    <row r="27" spans="2:8" ht="18.899999999999999" thickBot="1" x14ac:dyDescent="0.4">
      <c r="B27" s="124">
        <v>3</v>
      </c>
      <c r="C27" s="125"/>
      <c r="D27" s="125"/>
      <c r="E27" s="125"/>
      <c r="F27" s="125"/>
      <c r="G27" s="125"/>
      <c r="H27" s="126"/>
    </row>
    <row r="28" spans="2:8" ht="20.149999999999999" thickBot="1" x14ac:dyDescent="0.4">
      <c r="B28" s="784" t="s">
        <v>2</v>
      </c>
      <c r="C28" s="785"/>
      <c r="D28" s="785"/>
      <c r="E28" s="785"/>
      <c r="F28" s="785"/>
      <c r="G28" s="786"/>
      <c r="H28" s="200">
        <f>SUM(H25:H27)</f>
        <v>1732.5000000000002</v>
      </c>
    </row>
    <row r="29" spans="2:8" ht="19.75" x14ac:dyDescent="0.35">
      <c r="B29" s="114"/>
      <c r="C29" s="114"/>
      <c r="D29" s="114"/>
      <c r="E29" s="114"/>
      <c r="F29" s="114"/>
      <c r="G29" s="114"/>
      <c r="H29" s="92"/>
    </row>
    <row r="30" spans="2:8" ht="18.899999999999999" thickBot="1" x14ac:dyDescent="0.4">
      <c r="C30" s="80"/>
      <c r="D30" s="80"/>
      <c r="E30" s="80"/>
      <c r="F30" s="80"/>
      <c r="G30" s="80"/>
      <c r="H30" s="80"/>
    </row>
    <row r="31" spans="2:8" ht="20.149999999999999" thickBot="1" x14ac:dyDescent="0.4">
      <c r="B31" s="787" t="s">
        <v>478</v>
      </c>
      <c r="C31" s="788"/>
      <c r="D31" s="788"/>
      <c r="E31" s="788"/>
      <c r="F31" s="788"/>
      <c r="G31" s="788"/>
      <c r="H31" s="789"/>
    </row>
    <row r="32" spans="2:8" ht="18.45" x14ac:dyDescent="0.35">
      <c r="B32" s="779" t="s">
        <v>65</v>
      </c>
      <c r="C32" s="779" t="s">
        <v>3</v>
      </c>
      <c r="D32" s="779" t="s">
        <v>465</v>
      </c>
      <c r="E32" s="779" t="s">
        <v>488</v>
      </c>
      <c r="F32" s="779" t="s">
        <v>328</v>
      </c>
      <c r="G32" s="202" t="s">
        <v>12</v>
      </c>
      <c r="H32" s="779" t="s">
        <v>10</v>
      </c>
    </row>
    <row r="33" spans="2:8" ht="18.899999999999999" thickBot="1" x14ac:dyDescent="0.4">
      <c r="B33" s="780"/>
      <c r="C33" s="780"/>
      <c r="D33" s="780"/>
      <c r="E33" s="780"/>
      <c r="F33" s="780"/>
      <c r="G33" s="203" t="s">
        <v>62</v>
      </c>
      <c r="H33" s="780"/>
    </row>
    <row r="34" spans="2:8" ht="18.45" customHeight="1" x14ac:dyDescent="0.35">
      <c r="B34" s="118">
        <v>1</v>
      </c>
      <c r="C34" s="119" t="s">
        <v>5918</v>
      </c>
      <c r="D34" s="122" t="s">
        <v>5920</v>
      </c>
      <c r="E34" s="123">
        <f>'برآوردهاي پايه'!$D$101*'داده‌های ورودی'!$D$21/'برآوردهاي پايه'!$D$97*روزانه</f>
        <v>1.5749999999999997</v>
      </c>
      <c r="F34" s="120">
        <f>$E34*'داده‌های ورودی'!$D$29</f>
        <v>519.74999999999989</v>
      </c>
      <c r="G34" s="120">
        <v>100</v>
      </c>
      <c r="H34" s="121">
        <f>F34*G34/هزار</f>
        <v>51.974999999999987</v>
      </c>
    </row>
    <row r="35" spans="2:8" ht="18.45" x14ac:dyDescent="0.35">
      <c r="B35" s="112">
        <v>2</v>
      </c>
      <c r="C35" s="119" t="s">
        <v>5919</v>
      </c>
      <c r="D35" s="122" t="s">
        <v>5921</v>
      </c>
      <c r="E35" s="123">
        <v>20</v>
      </c>
      <c r="F35" s="120">
        <f>$E35/'تبديل واحد و اعداد ثابت'!$D$9*'داده‌های ورودی'!$D$29</f>
        <v>942.85714285714289</v>
      </c>
      <c r="G35" s="120">
        <v>100</v>
      </c>
      <c r="H35" s="121">
        <f>F35*G35/هزار</f>
        <v>94.285714285714292</v>
      </c>
    </row>
    <row r="36" spans="2:8" ht="18.899999999999999" thickBot="1" x14ac:dyDescent="0.4">
      <c r="B36" s="124">
        <v>3</v>
      </c>
      <c r="C36" s="125"/>
      <c r="D36" s="125"/>
      <c r="E36" s="125"/>
      <c r="F36" s="125"/>
      <c r="G36" s="125"/>
      <c r="H36" s="126"/>
    </row>
    <row r="37" spans="2:8" ht="20.149999999999999" thickBot="1" x14ac:dyDescent="0.4">
      <c r="B37" s="784" t="s">
        <v>2</v>
      </c>
      <c r="C37" s="785"/>
      <c r="D37" s="785"/>
      <c r="E37" s="785"/>
      <c r="F37" s="785"/>
      <c r="G37" s="786"/>
      <c r="H37" s="200">
        <f>SUM(H34:H36)</f>
        <v>146.26071428571427</v>
      </c>
    </row>
    <row r="38" spans="2:8" ht="19.75" x14ac:dyDescent="0.35">
      <c r="B38" s="114"/>
      <c r="C38" s="114"/>
      <c r="D38" s="114"/>
      <c r="E38" s="114"/>
      <c r="F38" s="114"/>
      <c r="G38" s="114"/>
      <c r="H38" s="92"/>
    </row>
    <row r="39" spans="2:8" ht="20.149999999999999" thickBot="1" x14ac:dyDescent="0.4">
      <c r="B39" s="114"/>
      <c r="C39" s="114"/>
      <c r="D39" s="114"/>
      <c r="E39" s="114"/>
      <c r="F39" s="114"/>
      <c r="G39" s="114"/>
      <c r="H39" s="92"/>
    </row>
    <row r="40" spans="2:8" ht="20.149999999999999" thickBot="1" x14ac:dyDescent="0.4">
      <c r="B40" s="787" t="s">
        <v>479</v>
      </c>
      <c r="C40" s="788"/>
      <c r="D40" s="788"/>
      <c r="E40" s="788"/>
      <c r="F40" s="788"/>
      <c r="G40" s="788"/>
      <c r="H40" s="789"/>
    </row>
    <row r="41" spans="2:8" ht="18.45" x14ac:dyDescent="0.35">
      <c r="B41" s="779" t="s">
        <v>65</v>
      </c>
      <c r="C41" s="779" t="s">
        <v>3</v>
      </c>
      <c r="D41" s="779" t="s">
        <v>483</v>
      </c>
      <c r="E41" s="779" t="s">
        <v>485</v>
      </c>
      <c r="F41" s="779" t="s">
        <v>328</v>
      </c>
      <c r="G41" s="202" t="s">
        <v>12</v>
      </c>
      <c r="H41" s="779" t="s">
        <v>61</v>
      </c>
    </row>
    <row r="42" spans="2:8" ht="18.899999999999999" thickBot="1" x14ac:dyDescent="0.4">
      <c r="B42" s="780"/>
      <c r="C42" s="780"/>
      <c r="D42" s="780"/>
      <c r="E42" s="780"/>
      <c r="F42" s="780"/>
      <c r="G42" s="203" t="s">
        <v>11</v>
      </c>
      <c r="H42" s="780"/>
    </row>
    <row r="43" spans="2:8" ht="18.45" customHeight="1" x14ac:dyDescent="0.35">
      <c r="B43" s="118">
        <v>1</v>
      </c>
      <c r="C43" s="119" t="s">
        <v>327</v>
      </c>
      <c r="D43" s="122" t="s">
        <v>484</v>
      </c>
      <c r="E43" s="123">
        <f>'برآوردهاي پايه'!$D$102*'داده‌های ورودی'!$D$21/'برآوردهاي پايه'!$D$97*روزانه</f>
        <v>1.0499999999999998</v>
      </c>
      <c r="F43" s="120">
        <f>$E43*'داده‌های ورودی'!$D$29</f>
        <v>346.49999999999994</v>
      </c>
      <c r="G43" s="123">
        <v>2.2000000000000002</v>
      </c>
      <c r="H43" s="121">
        <f>F43*G43</f>
        <v>762.3</v>
      </c>
    </row>
    <row r="44" spans="2:8" ht="18.45" x14ac:dyDescent="0.35">
      <c r="B44" s="112">
        <v>2</v>
      </c>
      <c r="C44" s="111"/>
      <c r="D44" s="111"/>
      <c r="E44" s="111"/>
      <c r="F44" s="111"/>
      <c r="G44" s="111"/>
      <c r="H44" s="113"/>
    </row>
    <row r="45" spans="2:8" ht="18.899999999999999" thickBot="1" x14ac:dyDescent="0.4">
      <c r="B45" s="124">
        <v>3</v>
      </c>
      <c r="C45" s="125"/>
      <c r="D45" s="125"/>
      <c r="E45" s="125"/>
      <c r="F45" s="125"/>
      <c r="G45" s="125"/>
      <c r="H45" s="126"/>
    </row>
    <row r="46" spans="2:8" ht="20.149999999999999" thickBot="1" x14ac:dyDescent="0.4">
      <c r="B46" s="784" t="s">
        <v>2</v>
      </c>
      <c r="C46" s="785"/>
      <c r="D46" s="785"/>
      <c r="E46" s="785"/>
      <c r="F46" s="785"/>
      <c r="G46" s="786"/>
      <c r="H46" s="200">
        <f>SUM(H43:H45)</f>
        <v>762.3</v>
      </c>
    </row>
    <row r="47" spans="2:8" ht="19.75" x14ac:dyDescent="0.35">
      <c r="B47" s="114"/>
      <c r="C47" s="114"/>
      <c r="D47" s="114"/>
      <c r="E47" s="114"/>
      <c r="F47" s="114"/>
      <c r="G47" s="114"/>
      <c r="H47" s="92"/>
    </row>
    <row r="48" spans="2:8" ht="19.75" x14ac:dyDescent="0.35">
      <c r="B48" s="114"/>
      <c r="C48" s="114"/>
      <c r="D48" s="114"/>
      <c r="E48" s="114"/>
      <c r="F48" s="114"/>
      <c r="G48" s="114"/>
      <c r="H48" s="92"/>
    </row>
  </sheetData>
  <mergeCells count="32">
    <mergeCell ref="B46:G46"/>
    <mergeCell ref="B31:H31"/>
    <mergeCell ref="B32:B33"/>
    <mergeCell ref="C32:C33"/>
    <mergeCell ref="D32:D33"/>
    <mergeCell ref="E32:E33"/>
    <mergeCell ref="F32:F33"/>
    <mergeCell ref="H32:H33"/>
    <mergeCell ref="B37:G37"/>
    <mergeCell ref="B40:H40"/>
    <mergeCell ref="B41:B42"/>
    <mergeCell ref="C41:C42"/>
    <mergeCell ref="D41:D42"/>
    <mergeCell ref="E41:E42"/>
    <mergeCell ref="F41:F42"/>
    <mergeCell ref="H41:H42"/>
    <mergeCell ref="B28:G28"/>
    <mergeCell ref="B14:B15"/>
    <mergeCell ref="B13:H13"/>
    <mergeCell ref="B19:G19"/>
    <mergeCell ref="B22:H22"/>
    <mergeCell ref="B23:B24"/>
    <mergeCell ref="C23:C24"/>
    <mergeCell ref="D23:D24"/>
    <mergeCell ref="E23:E24"/>
    <mergeCell ref="F23:F24"/>
    <mergeCell ref="H23:H24"/>
    <mergeCell ref="H14:H15"/>
    <mergeCell ref="C14:C15"/>
    <mergeCell ref="D14:D15"/>
    <mergeCell ref="E14:E15"/>
    <mergeCell ref="F14:F15"/>
  </mergeCells>
  <phoneticPr fontId="3" type="noConversion"/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B1:H17"/>
  <sheetViews>
    <sheetView rightToLeft="1" zoomScale="115" zoomScaleNormal="11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3.53515625" style="61" customWidth="1"/>
    <col min="3" max="3" width="29" style="61" bestFit="1" customWidth="1"/>
    <col min="4" max="4" width="12.23046875" style="62" bestFit="1" customWidth="1"/>
    <col min="5" max="5" width="19" style="62" bestFit="1" customWidth="1"/>
    <col min="6" max="6" width="17" style="61" customWidth="1"/>
    <col min="7" max="7" width="17" style="62" bestFit="1" customWidth="1"/>
    <col min="8" max="8" width="32.53515625" style="61" bestFit="1" customWidth="1"/>
    <col min="9" max="255" width="10.23046875" style="61"/>
    <col min="256" max="256" width="3.53515625" style="61" customWidth="1"/>
    <col min="257" max="257" width="29" style="61" bestFit="1" customWidth="1"/>
    <col min="258" max="258" width="12.23046875" style="61" bestFit="1" customWidth="1"/>
    <col min="259" max="259" width="17" style="61" customWidth="1"/>
    <col min="260" max="260" width="17" style="61" bestFit="1" customWidth="1"/>
    <col min="261" max="511" width="10.23046875" style="61"/>
    <col min="512" max="512" width="3.53515625" style="61" customWidth="1"/>
    <col min="513" max="513" width="29" style="61" bestFit="1" customWidth="1"/>
    <col min="514" max="514" width="12.23046875" style="61" bestFit="1" customWidth="1"/>
    <col min="515" max="515" width="17" style="61" customWidth="1"/>
    <col min="516" max="516" width="17" style="61" bestFit="1" customWidth="1"/>
    <col min="517" max="767" width="10.23046875" style="61"/>
    <col min="768" max="768" width="3.53515625" style="61" customWidth="1"/>
    <col min="769" max="769" width="29" style="61" bestFit="1" customWidth="1"/>
    <col min="770" max="770" width="12.23046875" style="61" bestFit="1" customWidth="1"/>
    <col min="771" max="771" width="17" style="61" customWidth="1"/>
    <col min="772" max="772" width="17" style="61" bestFit="1" customWidth="1"/>
    <col min="773" max="1023" width="10.23046875" style="61"/>
    <col min="1024" max="1024" width="3.53515625" style="61" customWidth="1"/>
    <col min="1025" max="1025" width="29" style="61" bestFit="1" customWidth="1"/>
    <col min="1026" max="1026" width="12.23046875" style="61" bestFit="1" customWidth="1"/>
    <col min="1027" max="1027" width="17" style="61" customWidth="1"/>
    <col min="1028" max="1028" width="17" style="61" bestFit="1" customWidth="1"/>
    <col min="1029" max="1279" width="10.23046875" style="61"/>
    <col min="1280" max="1280" width="3.53515625" style="61" customWidth="1"/>
    <col min="1281" max="1281" width="29" style="61" bestFit="1" customWidth="1"/>
    <col min="1282" max="1282" width="12.23046875" style="61" bestFit="1" customWidth="1"/>
    <col min="1283" max="1283" width="17" style="61" customWidth="1"/>
    <col min="1284" max="1284" width="17" style="61" bestFit="1" customWidth="1"/>
    <col min="1285" max="1535" width="10.23046875" style="61"/>
    <col min="1536" max="1536" width="3.53515625" style="61" customWidth="1"/>
    <col min="1537" max="1537" width="29" style="61" bestFit="1" customWidth="1"/>
    <col min="1538" max="1538" width="12.23046875" style="61" bestFit="1" customWidth="1"/>
    <col min="1539" max="1539" width="17" style="61" customWidth="1"/>
    <col min="1540" max="1540" width="17" style="61" bestFit="1" customWidth="1"/>
    <col min="1541" max="1791" width="10.23046875" style="61"/>
    <col min="1792" max="1792" width="3.53515625" style="61" customWidth="1"/>
    <col min="1793" max="1793" width="29" style="61" bestFit="1" customWidth="1"/>
    <col min="1794" max="1794" width="12.23046875" style="61" bestFit="1" customWidth="1"/>
    <col min="1795" max="1795" width="17" style="61" customWidth="1"/>
    <col min="1796" max="1796" width="17" style="61" bestFit="1" customWidth="1"/>
    <col min="1797" max="2047" width="10.23046875" style="61"/>
    <col min="2048" max="2048" width="3.53515625" style="61" customWidth="1"/>
    <col min="2049" max="2049" width="29" style="61" bestFit="1" customWidth="1"/>
    <col min="2050" max="2050" width="12.23046875" style="61" bestFit="1" customWidth="1"/>
    <col min="2051" max="2051" width="17" style="61" customWidth="1"/>
    <col min="2052" max="2052" width="17" style="61" bestFit="1" customWidth="1"/>
    <col min="2053" max="2303" width="10.23046875" style="61"/>
    <col min="2304" max="2304" width="3.53515625" style="61" customWidth="1"/>
    <col min="2305" max="2305" width="29" style="61" bestFit="1" customWidth="1"/>
    <col min="2306" max="2306" width="12.23046875" style="61" bestFit="1" customWidth="1"/>
    <col min="2307" max="2307" width="17" style="61" customWidth="1"/>
    <col min="2308" max="2308" width="17" style="61" bestFit="1" customWidth="1"/>
    <col min="2309" max="2559" width="10.23046875" style="61"/>
    <col min="2560" max="2560" width="3.53515625" style="61" customWidth="1"/>
    <col min="2561" max="2561" width="29" style="61" bestFit="1" customWidth="1"/>
    <col min="2562" max="2562" width="12.23046875" style="61" bestFit="1" customWidth="1"/>
    <col min="2563" max="2563" width="17" style="61" customWidth="1"/>
    <col min="2564" max="2564" width="17" style="61" bestFit="1" customWidth="1"/>
    <col min="2565" max="2815" width="10.23046875" style="61"/>
    <col min="2816" max="2816" width="3.53515625" style="61" customWidth="1"/>
    <col min="2817" max="2817" width="29" style="61" bestFit="1" customWidth="1"/>
    <col min="2818" max="2818" width="12.23046875" style="61" bestFit="1" customWidth="1"/>
    <col min="2819" max="2819" width="17" style="61" customWidth="1"/>
    <col min="2820" max="2820" width="17" style="61" bestFit="1" customWidth="1"/>
    <col min="2821" max="3071" width="10.23046875" style="61"/>
    <col min="3072" max="3072" width="3.53515625" style="61" customWidth="1"/>
    <col min="3073" max="3073" width="29" style="61" bestFit="1" customWidth="1"/>
    <col min="3074" max="3074" width="12.23046875" style="61" bestFit="1" customWidth="1"/>
    <col min="3075" max="3075" width="17" style="61" customWidth="1"/>
    <col min="3076" max="3076" width="17" style="61" bestFit="1" customWidth="1"/>
    <col min="3077" max="3327" width="10.23046875" style="61"/>
    <col min="3328" max="3328" width="3.53515625" style="61" customWidth="1"/>
    <col min="3329" max="3329" width="29" style="61" bestFit="1" customWidth="1"/>
    <col min="3330" max="3330" width="12.23046875" style="61" bestFit="1" customWidth="1"/>
    <col min="3331" max="3331" width="17" style="61" customWidth="1"/>
    <col min="3332" max="3332" width="17" style="61" bestFit="1" customWidth="1"/>
    <col min="3333" max="3583" width="10.23046875" style="61"/>
    <col min="3584" max="3584" width="3.53515625" style="61" customWidth="1"/>
    <col min="3585" max="3585" width="29" style="61" bestFit="1" customWidth="1"/>
    <col min="3586" max="3586" width="12.23046875" style="61" bestFit="1" customWidth="1"/>
    <col min="3587" max="3587" width="17" style="61" customWidth="1"/>
    <col min="3588" max="3588" width="17" style="61" bestFit="1" customWidth="1"/>
    <col min="3589" max="3839" width="10.23046875" style="61"/>
    <col min="3840" max="3840" width="3.53515625" style="61" customWidth="1"/>
    <col min="3841" max="3841" width="29" style="61" bestFit="1" customWidth="1"/>
    <col min="3842" max="3842" width="12.23046875" style="61" bestFit="1" customWidth="1"/>
    <col min="3843" max="3843" width="17" style="61" customWidth="1"/>
    <col min="3844" max="3844" width="17" style="61" bestFit="1" customWidth="1"/>
    <col min="3845" max="4095" width="10.23046875" style="61"/>
    <col min="4096" max="4096" width="3.53515625" style="61" customWidth="1"/>
    <col min="4097" max="4097" width="29" style="61" bestFit="1" customWidth="1"/>
    <col min="4098" max="4098" width="12.23046875" style="61" bestFit="1" customWidth="1"/>
    <col min="4099" max="4099" width="17" style="61" customWidth="1"/>
    <col min="4100" max="4100" width="17" style="61" bestFit="1" customWidth="1"/>
    <col min="4101" max="4351" width="10.23046875" style="61"/>
    <col min="4352" max="4352" width="3.53515625" style="61" customWidth="1"/>
    <col min="4353" max="4353" width="29" style="61" bestFit="1" customWidth="1"/>
    <col min="4354" max="4354" width="12.23046875" style="61" bestFit="1" customWidth="1"/>
    <col min="4355" max="4355" width="17" style="61" customWidth="1"/>
    <col min="4356" max="4356" width="17" style="61" bestFit="1" customWidth="1"/>
    <col min="4357" max="4607" width="10.23046875" style="61"/>
    <col min="4608" max="4608" width="3.53515625" style="61" customWidth="1"/>
    <col min="4609" max="4609" width="29" style="61" bestFit="1" customWidth="1"/>
    <col min="4610" max="4610" width="12.23046875" style="61" bestFit="1" customWidth="1"/>
    <col min="4611" max="4611" width="17" style="61" customWidth="1"/>
    <col min="4612" max="4612" width="17" style="61" bestFit="1" customWidth="1"/>
    <col min="4613" max="4863" width="10.23046875" style="61"/>
    <col min="4864" max="4864" width="3.53515625" style="61" customWidth="1"/>
    <col min="4865" max="4865" width="29" style="61" bestFit="1" customWidth="1"/>
    <col min="4866" max="4866" width="12.23046875" style="61" bestFit="1" customWidth="1"/>
    <col min="4867" max="4867" width="17" style="61" customWidth="1"/>
    <col min="4868" max="4868" width="17" style="61" bestFit="1" customWidth="1"/>
    <col min="4869" max="5119" width="10.23046875" style="61"/>
    <col min="5120" max="5120" width="3.53515625" style="61" customWidth="1"/>
    <col min="5121" max="5121" width="29" style="61" bestFit="1" customWidth="1"/>
    <col min="5122" max="5122" width="12.23046875" style="61" bestFit="1" customWidth="1"/>
    <col min="5123" max="5123" width="17" style="61" customWidth="1"/>
    <col min="5124" max="5124" width="17" style="61" bestFit="1" customWidth="1"/>
    <col min="5125" max="5375" width="10.23046875" style="61"/>
    <col min="5376" max="5376" width="3.53515625" style="61" customWidth="1"/>
    <col min="5377" max="5377" width="29" style="61" bestFit="1" customWidth="1"/>
    <col min="5378" max="5378" width="12.23046875" style="61" bestFit="1" customWidth="1"/>
    <col min="5379" max="5379" width="17" style="61" customWidth="1"/>
    <col min="5380" max="5380" width="17" style="61" bestFit="1" customWidth="1"/>
    <col min="5381" max="5631" width="10.23046875" style="61"/>
    <col min="5632" max="5632" width="3.53515625" style="61" customWidth="1"/>
    <col min="5633" max="5633" width="29" style="61" bestFit="1" customWidth="1"/>
    <col min="5634" max="5634" width="12.23046875" style="61" bestFit="1" customWidth="1"/>
    <col min="5635" max="5635" width="17" style="61" customWidth="1"/>
    <col min="5636" max="5636" width="17" style="61" bestFit="1" customWidth="1"/>
    <col min="5637" max="5887" width="10.23046875" style="61"/>
    <col min="5888" max="5888" width="3.53515625" style="61" customWidth="1"/>
    <col min="5889" max="5889" width="29" style="61" bestFit="1" customWidth="1"/>
    <col min="5890" max="5890" width="12.23046875" style="61" bestFit="1" customWidth="1"/>
    <col min="5891" max="5891" width="17" style="61" customWidth="1"/>
    <col min="5892" max="5892" width="17" style="61" bestFit="1" customWidth="1"/>
    <col min="5893" max="6143" width="10.23046875" style="61"/>
    <col min="6144" max="6144" width="3.53515625" style="61" customWidth="1"/>
    <col min="6145" max="6145" width="29" style="61" bestFit="1" customWidth="1"/>
    <col min="6146" max="6146" width="12.23046875" style="61" bestFit="1" customWidth="1"/>
    <col min="6147" max="6147" width="17" style="61" customWidth="1"/>
    <col min="6148" max="6148" width="17" style="61" bestFit="1" customWidth="1"/>
    <col min="6149" max="6399" width="10.23046875" style="61"/>
    <col min="6400" max="6400" width="3.53515625" style="61" customWidth="1"/>
    <col min="6401" max="6401" width="29" style="61" bestFit="1" customWidth="1"/>
    <col min="6402" max="6402" width="12.23046875" style="61" bestFit="1" customWidth="1"/>
    <col min="6403" max="6403" width="17" style="61" customWidth="1"/>
    <col min="6404" max="6404" width="17" style="61" bestFit="1" customWidth="1"/>
    <col min="6405" max="6655" width="10.23046875" style="61"/>
    <col min="6656" max="6656" width="3.53515625" style="61" customWidth="1"/>
    <col min="6657" max="6657" width="29" style="61" bestFit="1" customWidth="1"/>
    <col min="6658" max="6658" width="12.23046875" style="61" bestFit="1" customWidth="1"/>
    <col min="6659" max="6659" width="17" style="61" customWidth="1"/>
    <col min="6660" max="6660" width="17" style="61" bestFit="1" customWidth="1"/>
    <col min="6661" max="6911" width="10.23046875" style="61"/>
    <col min="6912" max="6912" width="3.53515625" style="61" customWidth="1"/>
    <col min="6913" max="6913" width="29" style="61" bestFit="1" customWidth="1"/>
    <col min="6914" max="6914" width="12.23046875" style="61" bestFit="1" customWidth="1"/>
    <col min="6915" max="6915" width="17" style="61" customWidth="1"/>
    <col min="6916" max="6916" width="17" style="61" bestFit="1" customWidth="1"/>
    <col min="6917" max="7167" width="10.23046875" style="61"/>
    <col min="7168" max="7168" width="3.53515625" style="61" customWidth="1"/>
    <col min="7169" max="7169" width="29" style="61" bestFit="1" customWidth="1"/>
    <col min="7170" max="7170" width="12.23046875" style="61" bestFit="1" customWidth="1"/>
    <col min="7171" max="7171" width="17" style="61" customWidth="1"/>
    <col min="7172" max="7172" width="17" style="61" bestFit="1" customWidth="1"/>
    <col min="7173" max="7423" width="10.23046875" style="61"/>
    <col min="7424" max="7424" width="3.53515625" style="61" customWidth="1"/>
    <col min="7425" max="7425" width="29" style="61" bestFit="1" customWidth="1"/>
    <col min="7426" max="7426" width="12.23046875" style="61" bestFit="1" customWidth="1"/>
    <col min="7427" max="7427" width="17" style="61" customWidth="1"/>
    <col min="7428" max="7428" width="17" style="61" bestFit="1" customWidth="1"/>
    <col min="7429" max="7679" width="10.23046875" style="61"/>
    <col min="7680" max="7680" width="3.53515625" style="61" customWidth="1"/>
    <col min="7681" max="7681" width="29" style="61" bestFit="1" customWidth="1"/>
    <col min="7682" max="7682" width="12.23046875" style="61" bestFit="1" customWidth="1"/>
    <col min="7683" max="7683" width="17" style="61" customWidth="1"/>
    <col min="7684" max="7684" width="17" style="61" bestFit="1" customWidth="1"/>
    <col min="7685" max="7935" width="10.23046875" style="61"/>
    <col min="7936" max="7936" width="3.53515625" style="61" customWidth="1"/>
    <col min="7937" max="7937" width="29" style="61" bestFit="1" customWidth="1"/>
    <col min="7938" max="7938" width="12.23046875" style="61" bestFit="1" customWidth="1"/>
    <col min="7939" max="7939" width="17" style="61" customWidth="1"/>
    <col min="7940" max="7940" width="17" style="61" bestFit="1" customWidth="1"/>
    <col min="7941" max="8191" width="10.23046875" style="61"/>
    <col min="8192" max="8192" width="3.53515625" style="61" customWidth="1"/>
    <col min="8193" max="8193" width="29" style="61" bestFit="1" customWidth="1"/>
    <col min="8194" max="8194" width="12.23046875" style="61" bestFit="1" customWidth="1"/>
    <col min="8195" max="8195" width="17" style="61" customWidth="1"/>
    <col min="8196" max="8196" width="17" style="61" bestFit="1" customWidth="1"/>
    <col min="8197" max="8447" width="10.23046875" style="61"/>
    <col min="8448" max="8448" width="3.53515625" style="61" customWidth="1"/>
    <col min="8449" max="8449" width="29" style="61" bestFit="1" customWidth="1"/>
    <col min="8450" max="8450" width="12.23046875" style="61" bestFit="1" customWidth="1"/>
    <col min="8451" max="8451" width="17" style="61" customWidth="1"/>
    <col min="8452" max="8452" width="17" style="61" bestFit="1" customWidth="1"/>
    <col min="8453" max="8703" width="10.23046875" style="61"/>
    <col min="8704" max="8704" width="3.53515625" style="61" customWidth="1"/>
    <col min="8705" max="8705" width="29" style="61" bestFit="1" customWidth="1"/>
    <col min="8706" max="8706" width="12.23046875" style="61" bestFit="1" customWidth="1"/>
    <col min="8707" max="8707" width="17" style="61" customWidth="1"/>
    <col min="8708" max="8708" width="17" style="61" bestFit="1" customWidth="1"/>
    <col min="8709" max="8959" width="10.23046875" style="61"/>
    <col min="8960" max="8960" width="3.53515625" style="61" customWidth="1"/>
    <col min="8961" max="8961" width="29" style="61" bestFit="1" customWidth="1"/>
    <col min="8962" max="8962" width="12.23046875" style="61" bestFit="1" customWidth="1"/>
    <col min="8963" max="8963" width="17" style="61" customWidth="1"/>
    <col min="8964" max="8964" width="17" style="61" bestFit="1" customWidth="1"/>
    <col min="8965" max="9215" width="10.23046875" style="61"/>
    <col min="9216" max="9216" width="3.53515625" style="61" customWidth="1"/>
    <col min="9217" max="9217" width="29" style="61" bestFit="1" customWidth="1"/>
    <col min="9218" max="9218" width="12.23046875" style="61" bestFit="1" customWidth="1"/>
    <col min="9219" max="9219" width="17" style="61" customWidth="1"/>
    <col min="9220" max="9220" width="17" style="61" bestFit="1" customWidth="1"/>
    <col min="9221" max="9471" width="10.23046875" style="61"/>
    <col min="9472" max="9472" width="3.53515625" style="61" customWidth="1"/>
    <col min="9473" max="9473" width="29" style="61" bestFit="1" customWidth="1"/>
    <col min="9474" max="9474" width="12.23046875" style="61" bestFit="1" customWidth="1"/>
    <col min="9475" max="9475" width="17" style="61" customWidth="1"/>
    <col min="9476" max="9476" width="17" style="61" bestFit="1" customWidth="1"/>
    <col min="9477" max="9727" width="10.23046875" style="61"/>
    <col min="9728" max="9728" width="3.53515625" style="61" customWidth="1"/>
    <col min="9729" max="9729" width="29" style="61" bestFit="1" customWidth="1"/>
    <col min="9730" max="9730" width="12.23046875" style="61" bestFit="1" customWidth="1"/>
    <col min="9731" max="9731" width="17" style="61" customWidth="1"/>
    <col min="9732" max="9732" width="17" style="61" bestFit="1" customWidth="1"/>
    <col min="9733" max="9983" width="10.23046875" style="61"/>
    <col min="9984" max="9984" width="3.53515625" style="61" customWidth="1"/>
    <col min="9985" max="9985" width="29" style="61" bestFit="1" customWidth="1"/>
    <col min="9986" max="9986" width="12.23046875" style="61" bestFit="1" customWidth="1"/>
    <col min="9987" max="9987" width="17" style="61" customWidth="1"/>
    <col min="9988" max="9988" width="17" style="61" bestFit="1" customWidth="1"/>
    <col min="9989" max="10239" width="10.23046875" style="61"/>
    <col min="10240" max="10240" width="3.53515625" style="61" customWidth="1"/>
    <col min="10241" max="10241" width="29" style="61" bestFit="1" customWidth="1"/>
    <col min="10242" max="10242" width="12.23046875" style="61" bestFit="1" customWidth="1"/>
    <col min="10243" max="10243" width="17" style="61" customWidth="1"/>
    <col min="10244" max="10244" width="17" style="61" bestFit="1" customWidth="1"/>
    <col min="10245" max="10495" width="10.23046875" style="61"/>
    <col min="10496" max="10496" width="3.53515625" style="61" customWidth="1"/>
    <col min="10497" max="10497" width="29" style="61" bestFit="1" customWidth="1"/>
    <col min="10498" max="10498" width="12.23046875" style="61" bestFit="1" customWidth="1"/>
    <col min="10499" max="10499" width="17" style="61" customWidth="1"/>
    <col min="10500" max="10500" width="17" style="61" bestFit="1" customWidth="1"/>
    <col min="10501" max="10751" width="10.23046875" style="61"/>
    <col min="10752" max="10752" width="3.53515625" style="61" customWidth="1"/>
    <col min="10753" max="10753" width="29" style="61" bestFit="1" customWidth="1"/>
    <col min="10754" max="10754" width="12.23046875" style="61" bestFit="1" customWidth="1"/>
    <col min="10755" max="10755" width="17" style="61" customWidth="1"/>
    <col min="10756" max="10756" width="17" style="61" bestFit="1" customWidth="1"/>
    <col min="10757" max="11007" width="10.23046875" style="61"/>
    <col min="11008" max="11008" width="3.53515625" style="61" customWidth="1"/>
    <col min="11009" max="11009" width="29" style="61" bestFit="1" customWidth="1"/>
    <col min="11010" max="11010" width="12.23046875" style="61" bestFit="1" customWidth="1"/>
    <col min="11011" max="11011" width="17" style="61" customWidth="1"/>
    <col min="11012" max="11012" width="17" style="61" bestFit="1" customWidth="1"/>
    <col min="11013" max="11263" width="10.23046875" style="61"/>
    <col min="11264" max="11264" width="3.53515625" style="61" customWidth="1"/>
    <col min="11265" max="11265" width="29" style="61" bestFit="1" customWidth="1"/>
    <col min="11266" max="11266" width="12.23046875" style="61" bestFit="1" customWidth="1"/>
    <col min="11267" max="11267" width="17" style="61" customWidth="1"/>
    <col min="11268" max="11268" width="17" style="61" bestFit="1" customWidth="1"/>
    <col min="11269" max="11519" width="10.23046875" style="61"/>
    <col min="11520" max="11520" width="3.53515625" style="61" customWidth="1"/>
    <col min="11521" max="11521" width="29" style="61" bestFit="1" customWidth="1"/>
    <col min="11522" max="11522" width="12.23046875" style="61" bestFit="1" customWidth="1"/>
    <col min="11523" max="11523" width="17" style="61" customWidth="1"/>
    <col min="11524" max="11524" width="17" style="61" bestFit="1" customWidth="1"/>
    <col min="11525" max="11775" width="10.23046875" style="61"/>
    <col min="11776" max="11776" width="3.53515625" style="61" customWidth="1"/>
    <col min="11777" max="11777" width="29" style="61" bestFit="1" customWidth="1"/>
    <col min="11778" max="11778" width="12.23046875" style="61" bestFit="1" customWidth="1"/>
    <col min="11779" max="11779" width="17" style="61" customWidth="1"/>
    <col min="11780" max="11780" width="17" style="61" bestFit="1" customWidth="1"/>
    <col min="11781" max="12031" width="10.23046875" style="61"/>
    <col min="12032" max="12032" width="3.53515625" style="61" customWidth="1"/>
    <col min="12033" max="12033" width="29" style="61" bestFit="1" customWidth="1"/>
    <col min="12034" max="12034" width="12.23046875" style="61" bestFit="1" customWidth="1"/>
    <col min="12035" max="12035" width="17" style="61" customWidth="1"/>
    <col min="12036" max="12036" width="17" style="61" bestFit="1" customWidth="1"/>
    <col min="12037" max="12287" width="10.23046875" style="61"/>
    <col min="12288" max="12288" width="3.53515625" style="61" customWidth="1"/>
    <col min="12289" max="12289" width="29" style="61" bestFit="1" customWidth="1"/>
    <col min="12290" max="12290" width="12.23046875" style="61" bestFit="1" customWidth="1"/>
    <col min="12291" max="12291" width="17" style="61" customWidth="1"/>
    <col min="12292" max="12292" width="17" style="61" bestFit="1" customWidth="1"/>
    <col min="12293" max="12543" width="10.23046875" style="61"/>
    <col min="12544" max="12544" width="3.53515625" style="61" customWidth="1"/>
    <col min="12545" max="12545" width="29" style="61" bestFit="1" customWidth="1"/>
    <col min="12546" max="12546" width="12.23046875" style="61" bestFit="1" customWidth="1"/>
    <col min="12547" max="12547" width="17" style="61" customWidth="1"/>
    <col min="12548" max="12548" width="17" style="61" bestFit="1" customWidth="1"/>
    <col min="12549" max="12799" width="10.23046875" style="61"/>
    <col min="12800" max="12800" width="3.53515625" style="61" customWidth="1"/>
    <col min="12801" max="12801" width="29" style="61" bestFit="1" customWidth="1"/>
    <col min="12802" max="12802" width="12.23046875" style="61" bestFit="1" customWidth="1"/>
    <col min="12803" max="12803" width="17" style="61" customWidth="1"/>
    <col min="12804" max="12804" width="17" style="61" bestFit="1" customWidth="1"/>
    <col min="12805" max="13055" width="10.23046875" style="61"/>
    <col min="13056" max="13056" width="3.53515625" style="61" customWidth="1"/>
    <col min="13057" max="13057" width="29" style="61" bestFit="1" customWidth="1"/>
    <col min="13058" max="13058" width="12.23046875" style="61" bestFit="1" customWidth="1"/>
    <col min="13059" max="13059" width="17" style="61" customWidth="1"/>
    <col min="13060" max="13060" width="17" style="61" bestFit="1" customWidth="1"/>
    <col min="13061" max="13311" width="10.23046875" style="61"/>
    <col min="13312" max="13312" width="3.53515625" style="61" customWidth="1"/>
    <col min="13313" max="13313" width="29" style="61" bestFit="1" customWidth="1"/>
    <col min="13314" max="13314" width="12.23046875" style="61" bestFit="1" customWidth="1"/>
    <col min="13315" max="13315" width="17" style="61" customWidth="1"/>
    <col min="13316" max="13316" width="17" style="61" bestFit="1" customWidth="1"/>
    <col min="13317" max="13567" width="10.23046875" style="61"/>
    <col min="13568" max="13568" width="3.53515625" style="61" customWidth="1"/>
    <col min="13569" max="13569" width="29" style="61" bestFit="1" customWidth="1"/>
    <col min="13570" max="13570" width="12.23046875" style="61" bestFit="1" customWidth="1"/>
    <col min="13571" max="13571" width="17" style="61" customWidth="1"/>
    <col min="13572" max="13572" width="17" style="61" bestFit="1" customWidth="1"/>
    <col min="13573" max="13823" width="10.23046875" style="61"/>
    <col min="13824" max="13824" width="3.53515625" style="61" customWidth="1"/>
    <col min="13825" max="13825" width="29" style="61" bestFit="1" customWidth="1"/>
    <col min="13826" max="13826" width="12.23046875" style="61" bestFit="1" customWidth="1"/>
    <col min="13827" max="13827" width="17" style="61" customWidth="1"/>
    <col min="13828" max="13828" width="17" style="61" bestFit="1" customWidth="1"/>
    <col min="13829" max="14079" width="10.23046875" style="61"/>
    <col min="14080" max="14080" width="3.53515625" style="61" customWidth="1"/>
    <col min="14081" max="14081" width="29" style="61" bestFit="1" customWidth="1"/>
    <col min="14082" max="14082" width="12.23046875" style="61" bestFit="1" customWidth="1"/>
    <col min="14083" max="14083" width="17" style="61" customWidth="1"/>
    <col min="14084" max="14084" width="17" style="61" bestFit="1" customWidth="1"/>
    <col min="14085" max="14335" width="10.23046875" style="61"/>
    <col min="14336" max="14336" width="3.53515625" style="61" customWidth="1"/>
    <col min="14337" max="14337" width="29" style="61" bestFit="1" customWidth="1"/>
    <col min="14338" max="14338" width="12.23046875" style="61" bestFit="1" customWidth="1"/>
    <col min="14339" max="14339" width="17" style="61" customWidth="1"/>
    <col min="14340" max="14340" width="17" style="61" bestFit="1" customWidth="1"/>
    <col min="14341" max="14591" width="10.23046875" style="61"/>
    <col min="14592" max="14592" width="3.53515625" style="61" customWidth="1"/>
    <col min="14593" max="14593" width="29" style="61" bestFit="1" customWidth="1"/>
    <col min="14594" max="14594" width="12.23046875" style="61" bestFit="1" customWidth="1"/>
    <col min="14595" max="14595" width="17" style="61" customWidth="1"/>
    <col min="14596" max="14596" width="17" style="61" bestFit="1" customWidth="1"/>
    <col min="14597" max="14847" width="10.23046875" style="61"/>
    <col min="14848" max="14848" width="3.53515625" style="61" customWidth="1"/>
    <col min="14849" max="14849" width="29" style="61" bestFit="1" customWidth="1"/>
    <col min="14850" max="14850" width="12.23046875" style="61" bestFit="1" customWidth="1"/>
    <col min="14851" max="14851" width="17" style="61" customWidth="1"/>
    <col min="14852" max="14852" width="17" style="61" bestFit="1" customWidth="1"/>
    <col min="14853" max="15103" width="10.23046875" style="61"/>
    <col min="15104" max="15104" width="3.53515625" style="61" customWidth="1"/>
    <col min="15105" max="15105" width="29" style="61" bestFit="1" customWidth="1"/>
    <col min="15106" max="15106" width="12.23046875" style="61" bestFit="1" customWidth="1"/>
    <col min="15107" max="15107" width="17" style="61" customWidth="1"/>
    <col min="15108" max="15108" width="17" style="61" bestFit="1" customWidth="1"/>
    <col min="15109" max="15359" width="10.23046875" style="61"/>
    <col min="15360" max="15360" width="3.53515625" style="61" customWidth="1"/>
    <col min="15361" max="15361" width="29" style="61" bestFit="1" customWidth="1"/>
    <col min="15362" max="15362" width="12.23046875" style="61" bestFit="1" customWidth="1"/>
    <col min="15363" max="15363" width="17" style="61" customWidth="1"/>
    <col min="15364" max="15364" width="17" style="61" bestFit="1" customWidth="1"/>
    <col min="15365" max="15615" width="10.23046875" style="61"/>
    <col min="15616" max="15616" width="3.53515625" style="61" customWidth="1"/>
    <col min="15617" max="15617" width="29" style="61" bestFit="1" customWidth="1"/>
    <col min="15618" max="15618" width="12.23046875" style="61" bestFit="1" customWidth="1"/>
    <col min="15619" max="15619" width="17" style="61" customWidth="1"/>
    <col min="15620" max="15620" width="17" style="61" bestFit="1" customWidth="1"/>
    <col min="15621" max="15871" width="10.23046875" style="61"/>
    <col min="15872" max="15872" width="3.53515625" style="61" customWidth="1"/>
    <col min="15873" max="15873" width="29" style="61" bestFit="1" customWidth="1"/>
    <col min="15874" max="15874" width="12.23046875" style="61" bestFit="1" customWidth="1"/>
    <col min="15875" max="15875" width="17" style="61" customWidth="1"/>
    <col min="15876" max="15876" width="17" style="61" bestFit="1" customWidth="1"/>
    <col min="15877" max="16127" width="10.23046875" style="61"/>
    <col min="16128" max="16128" width="3.53515625" style="61" customWidth="1"/>
    <col min="16129" max="16129" width="29" style="61" bestFit="1" customWidth="1"/>
    <col min="16130" max="16130" width="12.23046875" style="61" bestFit="1" customWidth="1"/>
    <col min="16131" max="16131" width="17" style="61" customWidth="1"/>
    <col min="16132" max="16132" width="17" style="61" bestFit="1" customWidth="1"/>
    <col min="16133" max="16384" width="10.23046875" style="61"/>
  </cols>
  <sheetData>
    <row r="1" spans="2:8" ht="18.899999999999999" thickBot="1" x14ac:dyDescent="0.8"/>
    <row r="2" spans="2:8" ht="18.75" customHeight="1" x14ac:dyDescent="0.75">
      <c r="B2" s="800" t="s">
        <v>65</v>
      </c>
      <c r="C2" s="796" t="s">
        <v>3</v>
      </c>
      <c r="D2" s="167" t="s">
        <v>4</v>
      </c>
      <c r="E2" s="612" t="s">
        <v>38</v>
      </c>
      <c r="F2" s="796" t="s">
        <v>5</v>
      </c>
      <c r="G2" s="536" t="s">
        <v>6</v>
      </c>
      <c r="H2" s="798" t="s">
        <v>3</v>
      </c>
    </row>
    <row r="3" spans="2:8" ht="19.5" customHeight="1" x14ac:dyDescent="0.85">
      <c r="B3" s="801"/>
      <c r="C3" s="797"/>
      <c r="D3" s="170" t="s">
        <v>11</v>
      </c>
      <c r="E3" s="802"/>
      <c r="F3" s="797"/>
      <c r="G3" s="171" t="s">
        <v>11</v>
      </c>
      <c r="H3" s="799"/>
    </row>
    <row r="4" spans="2:8" x14ac:dyDescent="0.75">
      <c r="B4" s="144">
        <v>1</v>
      </c>
      <c r="C4" s="537" t="s">
        <v>5929</v>
      </c>
      <c r="D4" s="86">
        <f>SUM('سرمایه ثابت'!$G$34,'سرمایه ثابت'!$G$40,'سرمایه ثابت'!$G$46,'سرمایه ثابت'!$G$55,'سرمایه ثابت'!$G$62)</f>
        <v>311202</v>
      </c>
      <c r="E4" s="86" t="s">
        <v>5937</v>
      </c>
      <c r="F4" s="376">
        <v>0.02</v>
      </c>
      <c r="G4" s="86">
        <f>F4*D4</f>
        <v>6224.04</v>
      </c>
      <c r="H4" s="133" t="s">
        <v>512</v>
      </c>
    </row>
    <row r="5" spans="2:8" x14ac:dyDescent="0.75">
      <c r="B5" s="144">
        <v>2</v>
      </c>
      <c r="C5" s="537" t="s">
        <v>5930</v>
      </c>
      <c r="D5" s="86">
        <f>'سرمایه ثابت'!$F$33</f>
        <v>761250</v>
      </c>
      <c r="E5" s="86" t="s">
        <v>5937</v>
      </c>
      <c r="F5" s="376">
        <v>0.03</v>
      </c>
      <c r="G5" s="86">
        <f>F5*D5</f>
        <v>22837.5</v>
      </c>
      <c r="H5" s="133"/>
    </row>
    <row r="6" spans="2:8" x14ac:dyDescent="0.75">
      <c r="B6" s="144">
        <v>3</v>
      </c>
      <c r="C6" s="537" t="s">
        <v>5931</v>
      </c>
      <c r="D6" s="534">
        <f>'سرمایه ثابت'!$F$39</f>
        <v>0</v>
      </c>
      <c r="E6" s="86" t="s">
        <v>5937</v>
      </c>
      <c r="F6" s="376">
        <v>0.02</v>
      </c>
      <c r="G6" s="86">
        <f t="shared" ref="G6:G10" si="0">F6*D6</f>
        <v>0</v>
      </c>
      <c r="H6" s="133"/>
    </row>
    <row r="7" spans="2:8" x14ac:dyDescent="0.75">
      <c r="B7" s="144">
        <v>4</v>
      </c>
      <c r="C7" s="537" t="s">
        <v>5932</v>
      </c>
      <c r="D7" s="534" t="s">
        <v>0</v>
      </c>
      <c r="E7" s="86" t="s">
        <v>5936</v>
      </c>
      <c r="F7" s="535">
        <v>0.08</v>
      </c>
      <c r="G7" s="86">
        <f>'برآورد محصول'!$D$35*هزار*روزانه*'داده‌های ورودی'!$D$29*$F$7/100</f>
        <v>23325.431261439997</v>
      </c>
      <c r="H7" s="133"/>
    </row>
    <row r="8" spans="2:8" x14ac:dyDescent="0.75">
      <c r="B8" s="144">
        <v>5</v>
      </c>
      <c r="C8" s="537" t="s">
        <v>5933</v>
      </c>
      <c r="D8" s="534">
        <f>'سرمایه ثابت'!$F$39</f>
        <v>0</v>
      </c>
      <c r="E8" s="86" t="s">
        <v>5937</v>
      </c>
      <c r="F8" s="376">
        <v>0.02</v>
      </c>
      <c r="G8" s="86">
        <f t="shared" si="0"/>
        <v>0</v>
      </c>
      <c r="H8" s="133"/>
    </row>
    <row r="9" spans="2:8" x14ac:dyDescent="0.75">
      <c r="B9" s="144">
        <v>6</v>
      </c>
      <c r="C9" s="537" t="s">
        <v>5934</v>
      </c>
      <c r="D9" s="534">
        <f>'سرمایه ثابت'!$F$54</f>
        <v>1311435</v>
      </c>
      <c r="E9" s="86" t="s">
        <v>5937</v>
      </c>
      <c r="F9" s="376">
        <v>0.02</v>
      </c>
      <c r="G9" s="86">
        <f t="shared" si="0"/>
        <v>26228.7</v>
      </c>
      <c r="H9" s="133"/>
    </row>
    <row r="10" spans="2:8" x14ac:dyDescent="0.75">
      <c r="B10" s="144">
        <v>7</v>
      </c>
      <c r="C10" s="537" t="s">
        <v>5935</v>
      </c>
      <c r="D10" s="534">
        <f>'سرمایه ثابت'!$F$59</f>
        <v>0</v>
      </c>
      <c r="E10" s="86" t="s">
        <v>5937</v>
      </c>
      <c r="F10" s="376">
        <v>0.02</v>
      </c>
      <c r="G10" s="86">
        <f t="shared" si="0"/>
        <v>0</v>
      </c>
      <c r="H10" s="133"/>
    </row>
    <row r="11" spans="2:8" x14ac:dyDescent="0.75">
      <c r="B11" s="144">
        <v>8</v>
      </c>
      <c r="C11" s="537" t="s">
        <v>28</v>
      </c>
      <c r="D11" s="86">
        <f>'سرمایه ثابت'!G64</f>
        <v>40668.178167288548</v>
      </c>
      <c r="E11" s="86" t="s">
        <v>5937</v>
      </c>
      <c r="F11" s="376">
        <v>0.05</v>
      </c>
      <c r="G11" s="86">
        <f>F11*D11</f>
        <v>2033.4089083644276</v>
      </c>
      <c r="H11" s="133"/>
    </row>
    <row r="12" spans="2:8" x14ac:dyDescent="0.75">
      <c r="B12" s="144">
        <v>9</v>
      </c>
      <c r="C12" s="537" t="s">
        <v>9</v>
      </c>
      <c r="D12" s="86">
        <f>SUM('سرمایه ثابت'!$G$65,'سرمایه ثابت'!$E$69,'سرمایه ثابت'!$H$302,'سرمایه ثابت'!$H$303)</f>
        <v>58273.230495402888</v>
      </c>
      <c r="E12" s="86" t="s">
        <v>5937</v>
      </c>
      <c r="F12" s="376">
        <v>0.2</v>
      </c>
      <c r="G12" s="86">
        <f>F12*D12</f>
        <v>11654.646099080579</v>
      </c>
      <c r="H12" s="133"/>
    </row>
    <row r="13" spans="2:8" ht="20.149999999999999" thickBot="1" x14ac:dyDescent="0.9">
      <c r="B13" s="793" t="s">
        <v>2</v>
      </c>
      <c r="C13" s="794"/>
      <c r="D13" s="794"/>
      <c r="E13" s="794"/>
      <c r="F13" s="795"/>
      <c r="G13" s="180">
        <f>SUM(G4:G12)</f>
        <v>92303.726268885002</v>
      </c>
      <c r="H13" s="182"/>
    </row>
    <row r="17" spans="6:6" x14ac:dyDescent="0.75">
      <c r="F17" s="62"/>
    </row>
  </sheetData>
  <mergeCells count="6">
    <mergeCell ref="B13:F13"/>
    <mergeCell ref="C2:C3"/>
    <mergeCell ref="F2:F3"/>
    <mergeCell ref="H2:H3"/>
    <mergeCell ref="B2:B3"/>
    <mergeCell ref="E2:E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B1:H47"/>
  <sheetViews>
    <sheetView rightToLeft="1" topLeftCell="A4" zoomScale="85" zoomScaleNormal="85" zoomScaleSheetLayoutView="145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29.84375" style="61" bestFit="1" customWidth="1"/>
    <col min="3" max="3" width="46" style="61" bestFit="1" customWidth="1"/>
    <col min="4" max="4" width="18.765625" style="61" customWidth="1"/>
    <col min="5" max="5" width="22.84375" style="61" customWidth="1"/>
    <col min="6" max="6" width="21.23046875" style="61" bestFit="1" customWidth="1"/>
    <col min="7" max="8" width="21.53515625" style="61" customWidth="1"/>
    <col min="9" max="9" width="21" style="61" customWidth="1"/>
    <col min="10" max="10" width="20" style="61" customWidth="1"/>
    <col min="11" max="247" width="10.23046875" style="61"/>
    <col min="248" max="248" width="3.53515625" style="61" customWidth="1"/>
    <col min="249" max="249" width="29" style="61" bestFit="1" customWidth="1"/>
    <col min="250" max="250" width="12.23046875" style="61" bestFit="1" customWidth="1"/>
    <col min="251" max="251" width="17" style="61" customWidth="1"/>
    <col min="252" max="252" width="17.23046875" style="61" bestFit="1" customWidth="1"/>
    <col min="253" max="503" width="10.23046875" style="61"/>
    <col min="504" max="504" width="3.53515625" style="61" customWidth="1"/>
    <col min="505" max="505" width="29" style="61" bestFit="1" customWidth="1"/>
    <col min="506" max="506" width="12.23046875" style="61" bestFit="1" customWidth="1"/>
    <col min="507" max="507" width="17" style="61" customWidth="1"/>
    <col min="508" max="508" width="17.23046875" style="61" bestFit="1" customWidth="1"/>
    <col min="509" max="759" width="10.23046875" style="61"/>
    <col min="760" max="760" width="3.53515625" style="61" customWidth="1"/>
    <col min="761" max="761" width="29" style="61" bestFit="1" customWidth="1"/>
    <col min="762" max="762" width="12.23046875" style="61" bestFit="1" customWidth="1"/>
    <col min="763" max="763" width="17" style="61" customWidth="1"/>
    <col min="764" max="764" width="17.23046875" style="61" bestFit="1" customWidth="1"/>
    <col min="765" max="1015" width="10.23046875" style="61"/>
    <col min="1016" max="1016" width="3.53515625" style="61" customWidth="1"/>
    <col min="1017" max="1017" width="29" style="61" bestFit="1" customWidth="1"/>
    <col min="1018" max="1018" width="12.23046875" style="61" bestFit="1" customWidth="1"/>
    <col min="1019" max="1019" width="17" style="61" customWidth="1"/>
    <col min="1020" max="1020" width="17.23046875" style="61" bestFit="1" customWidth="1"/>
    <col min="1021" max="1271" width="10.23046875" style="61"/>
    <col min="1272" max="1272" width="3.53515625" style="61" customWidth="1"/>
    <col min="1273" max="1273" width="29" style="61" bestFit="1" customWidth="1"/>
    <col min="1274" max="1274" width="12.23046875" style="61" bestFit="1" customWidth="1"/>
    <col min="1275" max="1275" width="17" style="61" customWidth="1"/>
    <col min="1276" max="1276" width="17.23046875" style="61" bestFit="1" customWidth="1"/>
    <col min="1277" max="1527" width="10.23046875" style="61"/>
    <col min="1528" max="1528" width="3.53515625" style="61" customWidth="1"/>
    <col min="1529" max="1529" width="29" style="61" bestFit="1" customWidth="1"/>
    <col min="1530" max="1530" width="12.23046875" style="61" bestFit="1" customWidth="1"/>
    <col min="1531" max="1531" width="17" style="61" customWidth="1"/>
    <col min="1532" max="1532" width="17.23046875" style="61" bestFit="1" customWidth="1"/>
    <col min="1533" max="1783" width="10.23046875" style="61"/>
    <col min="1784" max="1784" width="3.53515625" style="61" customWidth="1"/>
    <col min="1785" max="1785" width="29" style="61" bestFit="1" customWidth="1"/>
    <col min="1786" max="1786" width="12.23046875" style="61" bestFit="1" customWidth="1"/>
    <col min="1787" max="1787" width="17" style="61" customWidth="1"/>
    <col min="1788" max="1788" width="17.23046875" style="61" bestFit="1" customWidth="1"/>
    <col min="1789" max="2039" width="10.23046875" style="61"/>
    <col min="2040" max="2040" width="3.53515625" style="61" customWidth="1"/>
    <col min="2041" max="2041" width="29" style="61" bestFit="1" customWidth="1"/>
    <col min="2042" max="2042" width="12.23046875" style="61" bestFit="1" customWidth="1"/>
    <col min="2043" max="2043" width="17" style="61" customWidth="1"/>
    <col min="2044" max="2044" width="17.23046875" style="61" bestFit="1" customWidth="1"/>
    <col min="2045" max="2295" width="10.23046875" style="61"/>
    <col min="2296" max="2296" width="3.53515625" style="61" customWidth="1"/>
    <col min="2297" max="2297" width="29" style="61" bestFit="1" customWidth="1"/>
    <col min="2298" max="2298" width="12.23046875" style="61" bestFit="1" customWidth="1"/>
    <col min="2299" max="2299" width="17" style="61" customWidth="1"/>
    <col min="2300" max="2300" width="17.23046875" style="61" bestFit="1" customWidth="1"/>
    <col min="2301" max="2551" width="10.23046875" style="61"/>
    <col min="2552" max="2552" width="3.53515625" style="61" customWidth="1"/>
    <col min="2553" max="2553" width="29" style="61" bestFit="1" customWidth="1"/>
    <col min="2554" max="2554" width="12.23046875" style="61" bestFit="1" customWidth="1"/>
    <col min="2555" max="2555" width="17" style="61" customWidth="1"/>
    <col min="2556" max="2556" width="17.23046875" style="61" bestFit="1" customWidth="1"/>
    <col min="2557" max="2807" width="10.23046875" style="61"/>
    <col min="2808" max="2808" width="3.53515625" style="61" customWidth="1"/>
    <col min="2809" max="2809" width="29" style="61" bestFit="1" customWidth="1"/>
    <col min="2810" max="2810" width="12.23046875" style="61" bestFit="1" customWidth="1"/>
    <col min="2811" max="2811" width="17" style="61" customWidth="1"/>
    <col min="2812" max="2812" width="17.23046875" style="61" bestFit="1" customWidth="1"/>
    <col min="2813" max="3063" width="10.23046875" style="61"/>
    <col min="3064" max="3064" width="3.53515625" style="61" customWidth="1"/>
    <col min="3065" max="3065" width="29" style="61" bestFit="1" customWidth="1"/>
    <col min="3066" max="3066" width="12.23046875" style="61" bestFit="1" customWidth="1"/>
    <col min="3067" max="3067" width="17" style="61" customWidth="1"/>
    <col min="3068" max="3068" width="17.23046875" style="61" bestFit="1" customWidth="1"/>
    <col min="3069" max="3319" width="10.23046875" style="61"/>
    <col min="3320" max="3320" width="3.53515625" style="61" customWidth="1"/>
    <col min="3321" max="3321" width="29" style="61" bestFit="1" customWidth="1"/>
    <col min="3322" max="3322" width="12.23046875" style="61" bestFit="1" customWidth="1"/>
    <col min="3323" max="3323" width="17" style="61" customWidth="1"/>
    <col min="3324" max="3324" width="17.23046875" style="61" bestFit="1" customWidth="1"/>
    <col min="3325" max="3575" width="10.23046875" style="61"/>
    <col min="3576" max="3576" width="3.53515625" style="61" customWidth="1"/>
    <col min="3577" max="3577" width="29" style="61" bestFit="1" customWidth="1"/>
    <col min="3578" max="3578" width="12.23046875" style="61" bestFit="1" customWidth="1"/>
    <col min="3579" max="3579" width="17" style="61" customWidth="1"/>
    <col min="3580" max="3580" width="17.23046875" style="61" bestFit="1" customWidth="1"/>
    <col min="3581" max="3831" width="10.23046875" style="61"/>
    <col min="3832" max="3832" width="3.53515625" style="61" customWidth="1"/>
    <col min="3833" max="3833" width="29" style="61" bestFit="1" customWidth="1"/>
    <col min="3834" max="3834" width="12.23046875" style="61" bestFit="1" customWidth="1"/>
    <col min="3835" max="3835" width="17" style="61" customWidth="1"/>
    <col min="3836" max="3836" width="17.23046875" style="61" bestFit="1" customWidth="1"/>
    <col min="3837" max="4087" width="10.23046875" style="61"/>
    <col min="4088" max="4088" width="3.53515625" style="61" customWidth="1"/>
    <col min="4089" max="4089" width="29" style="61" bestFit="1" customWidth="1"/>
    <col min="4090" max="4090" width="12.23046875" style="61" bestFit="1" customWidth="1"/>
    <col min="4091" max="4091" width="17" style="61" customWidth="1"/>
    <col min="4092" max="4092" width="17.23046875" style="61" bestFit="1" customWidth="1"/>
    <col min="4093" max="4343" width="10.23046875" style="61"/>
    <col min="4344" max="4344" width="3.53515625" style="61" customWidth="1"/>
    <col min="4345" max="4345" width="29" style="61" bestFit="1" customWidth="1"/>
    <col min="4346" max="4346" width="12.23046875" style="61" bestFit="1" customWidth="1"/>
    <col min="4347" max="4347" width="17" style="61" customWidth="1"/>
    <col min="4348" max="4348" width="17.23046875" style="61" bestFit="1" customWidth="1"/>
    <col min="4349" max="4599" width="10.23046875" style="61"/>
    <col min="4600" max="4600" width="3.53515625" style="61" customWidth="1"/>
    <col min="4601" max="4601" width="29" style="61" bestFit="1" customWidth="1"/>
    <col min="4602" max="4602" width="12.23046875" style="61" bestFit="1" customWidth="1"/>
    <col min="4603" max="4603" width="17" style="61" customWidth="1"/>
    <col min="4604" max="4604" width="17.23046875" style="61" bestFit="1" customWidth="1"/>
    <col min="4605" max="4855" width="10.23046875" style="61"/>
    <col min="4856" max="4856" width="3.53515625" style="61" customWidth="1"/>
    <col min="4857" max="4857" width="29" style="61" bestFit="1" customWidth="1"/>
    <col min="4858" max="4858" width="12.23046875" style="61" bestFit="1" customWidth="1"/>
    <col min="4859" max="4859" width="17" style="61" customWidth="1"/>
    <col min="4860" max="4860" width="17.23046875" style="61" bestFit="1" customWidth="1"/>
    <col min="4861" max="5111" width="10.23046875" style="61"/>
    <col min="5112" max="5112" width="3.53515625" style="61" customWidth="1"/>
    <col min="5113" max="5113" width="29" style="61" bestFit="1" customWidth="1"/>
    <col min="5114" max="5114" width="12.23046875" style="61" bestFit="1" customWidth="1"/>
    <col min="5115" max="5115" width="17" style="61" customWidth="1"/>
    <col min="5116" max="5116" width="17.23046875" style="61" bestFit="1" customWidth="1"/>
    <col min="5117" max="5367" width="10.23046875" style="61"/>
    <col min="5368" max="5368" width="3.53515625" style="61" customWidth="1"/>
    <col min="5369" max="5369" width="29" style="61" bestFit="1" customWidth="1"/>
    <col min="5370" max="5370" width="12.23046875" style="61" bestFit="1" customWidth="1"/>
    <col min="5371" max="5371" width="17" style="61" customWidth="1"/>
    <col min="5372" max="5372" width="17.23046875" style="61" bestFit="1" customWidth="1"/>
    <col min="5373" max="5623" width="10.23046875" style="61"/>
    <col min="5624" max="5624" width="3.53515625" style="61" customWidth="1"/>
    <col min="5625" max="5625" width="29" style="61" bestFit="1" customWidth="1"/>
    <col min="5626" max="5626" width="12.23046875" style="61" bestFit="1" customWidth="1"/>
    <col min="5627" max="5627" width="17" style="61" customWidth="1"/>
    <col min="5628" max="5628" width="17.23046875" style="61" bestFit="1" customWidth="1"/>
    <col min="5629" max="5879" width="10.23046875" style="61"/>
    <col min="5880" max="5880" width="3.53515625" style="61" customWidth="1"/>
    <col min="5881" max="5881" width="29" style="61" bestFit="1" customWidth="1"/>
    <col min="5882" max="5882" width="12.23046875" style="61" bestFit="1" customWidth="1"/>
    <col min="5883" max="5883" width="17" style="61" customWidth="1"/>
    <col min="5884" max="5884" width="17.23046875" style="61" bestFit="1" customWidth="1"/>
    <col min="5885" max="6135" width="10.23046875" style="61"/>
    <col min="6136" max="6136" width="3.53515625" style="61" customWidth="1"/>
    <col min="6137" max="6137" width="29" style="61" bestFit="1" customWidth="1"/>
    <col min="6138" max="6138" width="12.23046875" style="61" bestFit="1" customWidth="1"/>
    <col min="6139" max="6139" width="17" style="61" customWidth="1"/>
    <col min="6140" max="6140" width="17.23046875" style="61" bestFit="1" customWidth="1"/>
    <col min="6141" max="6391" width="10.23046875" style="61"/>
    <col min="6392" max="6392" width="3.53515625" style="61" customWidth="1"/>
    <col min="6393" max="6393" width="29" style="61" bestFit="1" customWidth="1"/>
    <col min="6394" max="6394" width="12.23046875" style="61" bestFit="1" customWidth="1"/>
    <col min="6395" max="6395" width="17" style="61" customWidth="1"/>
    <col min="6396" max="6396" width="17.23046875" style="61" bestFit="1" customWidth="1"/>
    <col min="6397" max="6647" width="10.23046875" style="61"/>
    <col min="6648" max="6648" width="3.53515625" style="61" customWidth="1"/>
    <col min="6649" max="6649" width="29" style="61" bestFit="1" customWidth="1"/>
    <col min="6650" max="6650" width="12.23046875" style="61" bestFit="1" customWidth="1"/>
    <col min="6651" max="6651" width="17" style="61" customWidth="1"/>
    <col min="6652" max="6652" width="17.23046875" style="61" bestFit="1" customWidth="1"/>
    <col min="6653" max="6903" width="10.23046875" style="61"/>
    <col min="6904" max="6904" width="3.53515625" style="61" customWidth="1"/>
    <col min="6905" max="6905" width="29" style="61" bestFit="1" customWidth="1"/>
    <col min="6906" max="6906" width="12.23046875" style="61" bestFit="1" customWidth="1"/>
    <col min="6907" max="6907" width="17" style="61" customWidth="1"/>
    <col min="6908" max="6908" width="17.23046875" style="61" bestFit="1" customWidth="1"/>
    <col min="6909" max="7159" width="10.23046875" style="61"/>
    <col min="7160" max="7160" width="3.53515625" style="61" customWidth="1"/>
    <col min="7161" max="7161" width="29" style="61" bestFit="1" customWidth="1"/>
    <col min="7162" max="7162" width="12.23046875" style="61" bestFit="1" customWidth="1"/>
    <col min="7163" max="7163" width="17" style="61" customWidth="1"/>
    <col min="7164" max="7164" width="17.23046875" style="61" bestFit="1" customWidth="1"/>
    <col min="7165" max="7415" width="10.23046875" style="61"/>
    <col min="7416" max="7416" width="3.53515625" style="61" customWidth="1"/>
    <col min="7417" max="7417" width="29" style="61" bestFit="1" customWidth="1"/>
    <col min="7418" max="7418" width="12.23046875" style="61" bestFit="1" customWidth="1"/>
    <col min="7419" max="7419" width="17" style="61" customWidth="1"/>
    <col min="7420" max="7420" width="17.23046875" style="61" bestFit="1" customWidth="1"/>
    <col min="7421" max="7671" width="10.23046875" style="61"/>
    <col min="7672" max="7672" width="3.53515625" style="61" customWidth="1"/>
    <col min="7673" max="7673" width="29" style="61" bestFit="1" customWidth="1"/>
    <col min="7674" max="7674" width="12.23046875" style="61" bestFit="1" customWidth="1"/>
    <col min="7675" max="7675" width="17" style="61" customWidth="1"/>
    <col min="7676" max="7676" width="17.23046875" style="61" bestFit="1" customWidth="1"/>
    <col min="7677" max="7927" width="10.23046875" style="61"/>
    <col min="7928" max="7928" width="3.53515625" style="61" customWidth="1"/>
    <col min="7929" max="7929" width="29" style="61" bestFit="1" customWidth="1"/>
    <col min="7930" max="7930" width="12.23046875" style="61" bestFit="1" customWidth="1"/>
    <col min="7931" max="7931" width="17" style="61" customWidth="1"/>
    <col min="7932" max="7932" width="17.23046875" style="61" bestFit="1" customWidth="1"/>
    <col min="7933" max="8183" width="10.23046875" style="61"/>
    <col min="8184" max="8184" width="3.53515625" style="61" customWidth="1"/>
    <col min="8185" max="8185" width="29" style="61" bestFit="1" customWidth="1"/>
    <col min="8186" max="8186" width="12.23046875" style="61" bestFit="1" customWidth="1"/>
    <col min="8187" max="8187" width="17" style="61" customWidth="1"/>
    <col min="8188" max="8188" width="17.23046875" style="61" bestFit="1" customWidth="1"/>
    <col min="8189" max="8439" width="10.23046875" style="61"/>
    <col min="8440" max="8440" width="3.53515625" style="61" customWidth="1"/>
    <col min="8441" max="8441" width="29" style="61" bestFit="1" customWidth="1"/>
    <col min="8442" max="8442" width="12.23046875" style="61" bestFit="1" customWidth="1"/>
    <col min="8443" max="8443" width="17" style="61" customWidth="1"/>
    <col min="8444" max="8444" width="17.23046875" style="61" bestFit="1" customWidth="1"/>
    <col min="8445" max="8695" width="10.23046875" style="61"/>
    <col min="8696" max="8696" width="3.53515625" style="61" customWidth="1"/>
    <col min="8697" max="8697" width="29" style="61" bestFit="1" customWidth="1"/>
    <col min="8698" max="8698" width="12.23046875" style="61" bestFit="1" customWidth="1"/>
    <col min="8699" max="8699" width="17" style="61" customWidth="1"/>
    <col min="8700" max="8700" width="17.23046875" style="61" bestFit="1" customWidth="1"/>
    <col min="8701" max="8951" width="10.23046875" style="61"/>
    <col min="8952" max="8952" width="3.53515625" style="61" customWidth="1"/>
    <col min="8953" max="8953" width="29" style="61" bestFit="1" customWidth="1"/>
    <col min="8954" max="8954" width="12.23046875" style="61" bestFit="1" customWidth="1"/>
    <col min="8955" max="8955" width="17" style="61" customWidth="1"/>
    <col min="8956" max="8956" width="17.23046875" style="61" bestFit="1" customWidth="1"/>
    <col min="8957" max="9207" width="10.23046875" style="61"/>
    <col min="9208" max="9208" width="3.53515625" style="61" customWidth="1"/>
    <col min="9209" max="9209" width="29" style="61" bestFit="1" customWidth="1"/>
    <col min="9210" max="9210" width="12.23046875" style="61" bestFit="1" customWidth="1"/>
    <col min="9211" max="9211" width="17" style="61" customWidth="1"/>
    <col min="9212" max="9212" width="17.23046875" style="61" bestFit="1" customWidth="1"/>
    <col min="9213" max="9463" width="10.23046875" style="61"/>
    <col min="9464" max="9464" width="3.53515625" style="61" customWidth="1"/>
    <col min="9465" max="9465" width="29" style="61" bestFit="1" customWidth="1"/>
    <col min="9466" max="9466" width="12.23046875" style="61" bestFit="1" customWidth="1"/>
    <col min="9467" max="9467" width="17" style="61" customWidth="1"/>
    <col min="9468" max="9468" width="17.23046875" style="61" bestFit="1" customWidth="1"/>
    <col min="9469" max="9719" width="10.23046875" style="61"/>
    <col min="9720" max="9720" width="3.53515625" style="61" customWidth="1"/>
    <col min="9721" max="9721" width="29" style="61" bestFit="1" customWidth="1"/>
    <col min="9722" max="9722" width="12.23046875" style="61" bestFit="1" customWidth="1"/>
    <col min="9723" max="9723" width="17" style="61" customWidth="1"/>
    <col min="9724" max="9724" width="17.23046875" style="61" bestFit="1" customWidth="1"/>
    <col min="9725" max="9975" width="10.23046875" style="61"/>
    <col min="9976" max="9976" width="3.53515625" style="61" customWidth="1"/>
    <col min="9977" max="9977" width="29" style="61" bestFit="1" customWidth="1"/>
    <col min="9978" max="9978" width="12.23046875" style="61" bestFit="1" customWidth="1"/>
    <col min="9979" max="9979" width="17" style="61" customWidth="1"/>
    <col min="9980" max="9980" width="17.23046875" style="61" bestFit="1" customWidth="1"/>
    <col min="9981" max="10231" width="10.23046875" style="61"/>
    <col min="10232" max="10232" width="3.53515625" style="61" customWidth="1"/>
    <col min="10233" max="10233" width="29" style="61" bestFit="1" customWidth="1"/>
    <col min="10234" max="10234" width="12.23046875" style="61" bestFit="1" customWidth="1"/>
    <col min="10235" max="10235" width="17" style="61" customWidth="1"/>
    <col min="10236" max="10236" width="17.23046875" style="61" bestFit="1" customWidth="1"/>
    <col min="10237" max="10487" width="10.23046875" style="61"/>
    <col min="10488" max="10488" width="3.53515625" style="61" customWidth="1"/>
    <col min="10489" max="10489" width="29" style="61" bestFit="1" customWidth="1"/>
    <col min="10490" max="10490" width="12.23046875" style="61" bestFit="1" customWidth="1"/>
    <col min="10491" max="10491" width="17" style="61" customWidth="1"/>
    <col min="10492" max="10492" width="17.23046875" style="61" bestFit="1" customWidth="1"/>
    <col min="10493" max="10743" width="10.23046875" style="61"/>
    <col min="10744" max="10744" width="3.53515625" style="61" customWidth="1"/>
    <col min="10745" max="10745" width="29" style="61" bestFit="1" customWidth="1"/>
    <col min="10746" max="10746" width="12.23046875" style="61" bestFit="1" customWidth="1"/>
    <col min="10747" max="10747" width="17" style="61" customWidth="1"/>
    <col min="10748" max="10748" width="17.23046875" style="61" bestFit="1" customWidth="1"/>
    <col min="10749" max="10999" width="10.23046875" style="61"/>
    <col min="11000" max="11000" width="3.53515625" style="61" customWidth="1"/>
    <col min="11001" max="11001" width="29" style="61" bestFit="1" customWidth="1"/>
    <col min="11002" max="11002" width="12.23046875" style="61" bestFit="1" customWidth="1"/>
    <col min="11003" max="11003" width="17" style="61" customWidth="1"/>
    <col min="11004" max="11004" width="17.23046875" style="61" bestFit="1" customWidth="1"/>
    <col min="11005" max="11255" width="10.23046875" style="61"/>
    <col min="11256" max="11256" width="3.53515625" style="61" customWidth="1"/>
    <col min="11257" max="11257" width="29" style="61" bestFit="1" customWidth="1"/>
    <col min="11258" max="11258" width="12.23046875" style="61" bestFit="1" customWidth="1"/>
    <col min="11259" max="11259" width="17" style="61" customWidth="1"/>
    <col min="11260" max="11260" width="17.23046875" style="61" bestFit="1" customWidth="1"/>
    <col min="11261" max="11511" width="10.23046875" style="61"/>
    <col min="11512" max="11512" width="3.53515625" style="61" customWidth="1"/>
    <col min="11513" max="11513" width="29" style="61" bestFit="1" customWidth="1"/>
    <col min="11514" max="11514" width="12.23046875" style="61" bestFit="1" customWidth="1"/>
    <col min="11515" max="11515" width="17" style="61" customWidth="1"/>
    <col min="11516" max="11516" width="17.23046875" style="61" bestFit="1" customWidth="1"/>
    <col min="11517" max="11767" width="10.23046875" style="61"/>
    <col min="11768" max="11768" width="3.53515625" style="61" customWidth="1"/>
    <col min="11769" max="11769" width="29" style="61" bestFit="1" customWidth="1"/>
    <col min="11770" max="11770" width="12.23046875" style="61" bestFit="1" customWidth="1"/>
    <col min="11771" max="11771" width="17" style="61" customWidth="1"/>
    <col min="11772" max="11772" width="17.23046875" style="61" bestFit="1" customWidth="1"/>
    <col min="11773" max="12023" width="10.23046875" style="61"/>
    <col min="12024" max="12024" width="3.53515625" style="61" customWidth="1"/>
    <col min="12025" max="12025" width="29" style="61" bestFit="1" customWidth="1"/>
    <col min="12026" max="12026" width="12.23046875" style="61" bestFit="1" customWidth="1"/>
    <col min="12027" max="12027" width="17" style="61" customWidth="1"/>
    <col min="12028" max="12028" width="17.23046875" style="61" bestFit="1" customWidth="1"/>
    <col min="12029" max="12279" width="10.23046875" style="61"/>
    <col min="12280" max="12280" width="3.53515625" style="61" customWidth="1"/>
    <col min="12281" max="12281" width="29" style="61" bestFit="1" customWidth="1"/>
    <col min="12282" max="12282" width="12.23046875" style="61" bestFit="1" customWidth="1"/>
    <col min="12283" max="12283" width="17" style="61" customWidth="1"/>
    <col min="12284" max="12284" width="17.23046875" style="61" bestFit="1" customWidth="1"/>
    <col min="12285" max="12535" width="10.23046875" style="61"/>
    <col min="12536" max="12536" width="3.53515625" style="61" customWidth="1"/>
    <col min="12537" max="12537" width="29" style="61" bestFit="1" customWidth="1"/>
    <col min="12538" max="12538" width="12.23046875" style="61" bestFit="1" customWidth="1"/>
    <col min="12539" max="12539" width="17" style="61" customWidth="1"/>
    <col min="12540" max="12540" width="17.23046875" style="61" bestFit="1" customWidth="1"/>
    <col min="12541" max="12791" width="10.23046875" style="61"/>
    <col min="12792" max="12792" width="3.53515625" style="61" customWidth="1"/>
    <col min="12793" max="12793" width="29" style="61" bestFit="1" customWidth="1"/>
    <col min="12794" max="12794" width="12.23046875" style="61" bestFit="1" customWidth="1"/>
    <col min="12795" max="12795" width="17" style="61" customWidth="1"/>
    <col min="12796" max="12796" width="17.23046875" style="61" bestFit="1" customWidth="1"/>
    <col min="12797" max="13047" width="10.23046875" style="61"/>
    <col min="13048" max="13048" width="3.53515625" style="61" customWidth="1"/>
    <col min="13049" max="13049" width="29" style="61" bestFit="1" customWidth="1"/>
    <col min="13050" max="13050" width="12.23046875" style="61" bestFit="1" customWidth="1"/>
    <col min="13051" max="13051" width="17" style="61" customWidth="1"/>
    <col min="13052" max="13052" width="17.23046875" style="61" bestFit="1" customWidth="1"/>
    <col min="13053" max="13303" width="10.23046875" style="61"/>
    <col min="13304" max="13304" width="3.53515625" style="61" customWidth="1"/>
    <col min="13305" max="13305" width="29" style="61" bestFit="1" customWidth="1"/>
    <col min="13306" max="13306" width="12.23046875" style="61" bestFit="1" customWidth="1"/>
    <col min="13307" max="13307" width="17" style="61" customWidth="1"/>
    <col min="13308" max="13308" width="17.23046875" style="61" bestFit="1" customWidth="1"/>
    <col min="13309" max="13559" width="10.23046875" style="61"/>
    <col min="13560" max="13560" width="3.53515625" style="61" customWidth="1"/>
    <col min="13561" max="13561" width="29" style="61" bestFit="1" customWidth="1"/>
    <col min="13562" max="13562" width="12.23046875" style="61" bestFit="1" customWidth="1"/>
    <col min="13563" max="13563" width="17" style="61" customWidth="1"/>
    <col min="13564" max="13564" width="17.23046875" style="61" bestFit="1" customWidth="1"/>
    <col min="13565" max="13815" width="10.23046875" style="61"/>
    <col min="13816" max="13816" width="3.53515625" style="61" customWidth="1"/>
    <col min="13817" max="13817" width="29" style="61" bestFit="1" customWidth="1"/>
    <col min="13818" max="13818" width="12.23046875" style="61" bestFit="1" customWidth="1"/>
    <col min="13819" max="13819" width="17" style="61" customWidth="1"/>
    <col min="13820" max="13820" width="17.23046875" style="61" bestFit="1" customWidth="1"/>
    <col min="13821" max="14071" width="10.23046875" style="61"/>
    <col min="14072" max="14072" width="3.53515625" style="61" customWidth="1"/>
    <col min="14073" max="14073" width="29" style="61" bestFit="1" customWidth="1"/>
    <col min="14074" max="14074" width="12.23046875" style="61" bestFit="1" customWidth="1"/>
    <col min="14075" max="14075" width="17" style="61" customWidth="1"/>
    <col min="14076" max="14076" width="17.23046875" style="61" bestFit="1" customWidth="1"/>
    <col min="14077" max="14327" width="10.23046875" style="61"/>
    <col min="14328" max="14328" width="3.53515625" style="61" customWidth="1"/>
    <col min="14329" max="14329" width="29" style="61" bestFit="1" customWidth="1"/>
    <col min="14330" max="14330" width="12.23046875" style="61" bestFit="1" customWidth="1"/>
    <col min="14331" max="14331" width="17" style="61" customWidth="1"/>
    <col min="14332" max="14332" width="17.23046875" style="61" bestFit="1" customWidth="1"/>
    <col min="14333" max="14583" width="10.23046875" style="61"/>
    <col min="14584" max="14584" width="3.53515625" style="61" customWidth="1"/>
    <col min="14585" max="14585" width="29" style="61" bestFit="1" customWidth="1"/>
    <col min="14586" max="14586" width="12.23046875" style="61" bestFit="1" customWidth="1"/>
    <col min="14587" max="14587" width="17" style="61" customWidth="1"/>
    <col min="14588" max="14588" width="17.23046875" style="61" bestFit="1" customWidth="1"/>
    <col min="14589" max="14839" width="10.23046875" style="61"/>
    <col min="14840" max="14840" width="3.53515625" style="61" customWidth="1"/>
    <col min="14841" max="14841" width="29" style="61" bestFit="1" customWidth="1"/>
    <col min="14842" max="14842" width="12.23046875" style="61" bestFit="1" customWidth="1"/>
    <col min="14843" max="14843" width="17" style="61" customWidth="1"/>
    <col min="14844" max="14844" width="17.23046875" style="61" bestFit="1" customWidth="1"/>
    <col min="14845" max="15095" width="10.23046875" style="61"/>
    <col min="15096" max="15096" width="3.53515625" style="61" customWidth="1"/>
    <col min="15097" max="15097" width="29" style="61" bestFit="1" customWidth="1"/>
    <col min="15098" max="15098" width="12.23046875" style="61" bestFit="1" customWidth="1"/>
    <col min="15099" max="15099" width="17" style="61" customWidth="1"/>
    <col min="15100" max="15100" width="17.23046875" style="61" bestFit="1" customWidth="1"/>
    <col min="15101" max="15351" width="10.23046875" style="61"/>
    <col min="15352" max="15352" width="3.53515625" style="61" customWidth="1"/>
    <col min="15353" max="15353" width="29" style="61" bestFit="1" customWidth="1"/>
    <col min="15354" max="15354" width="12.23046875" style="61" bestFit="1" customWidth="1"/>
    <col min="15355" max="15355" width="17" style="61" customWidth="1"/>
    <col min="15356" max="15356" width="17.23046875" style="61" bestFit="1" customWidth="1"/>
    <col min="15357" max="15607" width="10.23046875" style="61"/>
    <col min="15608" max="15608" width="3.53515625" style="61" customWidth="1"/>
    <col min="15609" max="15609" width="29" style="61" bestFit="1" customWidth="1"/>
    <col min="15610" max="15610" width="12.23046875" style="61" bestFit="1" customWidth="1"/>
    <col min="15611" max="15611" width="17" style="61" customWidth="1"/>
    <col min="15612" max="15612" width="17.23046875" style="61" bestFit="1" customWidth="1"/>
    <col min="15613" max="15863" width="10.23046875" style="61"/>
    <col min="15864" max="15864" width="3.53515625" style="61" customWidth="1"/>
    <col min="15865" max="15865" width="29" style="61" bestFit="1" customWidth="1"/>
    <col min="15866" max="15866" width="12.23046875" style="61" bestFit="1" customWidth="1"/>
    <col min="15867" max="15867" width="17" style="61" customWidth="1"/>
    <col min="15868" max="15868" width="17.23046875" style="61" bestFit="1" customWidth="1"/>
    <col min="15869" max="16119" width="10.23046875" style="61"/>
    <col min="16120" max="16120" width="3.53515625" style="61" customWidth="1"/>
    <col min="16121" max="16121" width="29" style="61" bestFit="1" customWidth="1"/>
    <col min="16122" max="16122" width="12.23046875" style="61" bestFit="1" customWidth="1"/>
    <col min="16123" max="16123" width="17" style="61" customWidth="1"/>
    <col min="16124" max="16124" width="17.23046875" style="61" bestFit="1" customWidth="1"/>
    <col min="16125" max="16384" width="10.23046875" style="61"/>
  </cols>
  <sheetData>
    <row r="1" spans="2:8" ht="18.899999999999999" thickBot="1" x14ac:dyDescent="0.8"/>
    <row r="2" spans="2:8" ht="18.75" customHeight="1" x14ac:dyDescent="0.75">
      <c r="B2" s="191" t="s">
        <v>3</v>
      </c>
      <c r="C2" s="187" t="s">
        <v>494</v>
      </c>
    </row>
    <row r="3" spans="2:8" x14ac:dyDescent="0.75">
      <c r="B3" s="154" t="s">
        <v>305</v>
      </c>
      <c r="C3" s="155">
        <f>$H$19</f>
        <v>271320</v>
      </c>
    </row>
    <row r="4" spans="2:8" ht="36.9" x14ac:dyDescent="0.75">
      <c r="B4" s="154" t="s">
        <v>469</v>
      </c>
      <c r="C4" s="156">
        <f>$G$37*'داده‌های ورودی'!$D$23</f>
        <v>118421.08108108107</v>
      </c>
    </row>
    <row r="5" spans="2:8" ht="20.149999999999999" thickBot="1" x14ac:dyDescent="0.8">
      <c r="B5" s="196" t="s">
        <v>2</v>
      </c>
      <c r="C5" s="197">
        <f>SUM(C3:C4)</f>
        <v>389741.08108108107</v>
      </c>
      <c r="D5" s="67"/>
      <c r="E5" s="67"/>
    </row>
    <row r="6" spans="2:8" x14ac:dyDescent="0.75">
      <c r="C6" s="68"/>
    </row>
    <row r="7" spans="2:8" ht="18.899999999999999" thickBot="1" x14ac:dyDescent="0.8">
      <c r="C7" s="68"/>
    </row>
    <row r="8" spans="2:8" ht="19.75" x14ac:dyDescent="0.75">
      <c r="B8" s="672" t="s">
        <v>305</v>
      </c>
      <c r="C8" s="674"/>
      <c r="D8" s="674"/>
      <c r="E8" s="674"/>
      <c r="F8" s="674"/>
      <c r="G8" s="674"/>
      <c r="H8" s="773"/>
    </row>
    <row r="9" spans="2:8" ht="19.75" x14ac:dyDescent="0.75">
      <c r="B9" s="673" t="s">
        <v>65</v>
      </c>
      <c r="C9" s="675" t="s">
        <v>3</v>
      </c>
      <c r="D9" s="675" t="s">
        <v>1</v>
      </c>
      <c r="E9" s="675" t="s">
        <v>326</v>
      </c>
      <c r="F9" s="675" t="s">
        <v>66</v>
      </c>
      <c r="G9" s="675"/>
      <c r="H9" s="808"/>
    </row>
    <row r="10" spans="2:8" ht="39.450000000000003" x14ac:dyDescent="0.75">
      <c r="B10" s="673"/>
      <c r="C10" s="675"/>
      <c r="D10" s="675"/>
      <c r="E10" s="675"/>
      <c r="F10" s="194" t="s">
        <v>313</v>
      </c>
      <c r="G10" s="194" t="s">
        <v>67</v>
      </c>
      <c r="H10" s="195" t="s">
        <v>495</v>
      </c>
    </row>
    <row r="11" spans="2:8" x14ac:dyDescent="0.75">
      <c r="B11" s="130">
        <v>1</v>
      </c>
      <c r="C11" s="87" t="s">
        <v>493</v>
      </c>
      <c r="D11" s="88">
        <v>2</v>
      </c>
      <c r="E11" s="88" t="str">
        <f>'نیروی انسانی'!$E$44</f>
        <v>اقماری</v>
      </c>
      <c r="F11" s="88">
        <v>2500</v>
      </c>
      <c r="G11" s="88">
        <v>12</v>
      </c>
      <c r="H11" s="131">
        <f>($D11*$F11*($G11+'نیروی انسانی'!$E$43)*(1+'نیروی انسانی'!$E$42))</f>
        <v>119000</v>
      </c>
    </row>
    <row r="12" spans="2:8" x14ac:dyDescent="0.75">
      <c r="B12" s="130">
        <v>2</v>
      </c>
      <c r="C12" s="87" t="s">
        <v>302</v>
      </c>
      <c r="D12" s="88">
        <v>2</v>
      </c>
      <c r="E12" s="88" t="str">
        <f>'نیروی انسانی'!$E$44</f>
        <v>اقماری</v>
      </c>
      <c r="F12" s="88">
        <v>200</v>
      </c>
      <c r="G12" s="88">
        <v>12</v>
      </c>
      <c r="H12" s="131">
        <f>($D12*$F12*($G12+'نیروی انسانی'!$E$43)*(1+'نیروی انسانی'!$E$42))</f>
        <v>9520</v>
      </c>
    </row>
    <row r="13" spans="2:8" x14ac:dyDescent="0.75">
      <c r="B13" s="130">
        <v>3</v>
      </c>
      <c r="C13" s="87" t="s">
        <v>303</v>
      </c>
      <c r="D13" s="88">
        <v>10</v>
      </c>
      <c r="E13" s="88" t="str">
        <f>'نیروی انسانی'!$E$44</f>
        <v>اقماری</v>
      </c>
      <c r="F13" s="88">
        <v>120</v>
      </c>
      <c r="G13" s="88">
        <v>12</v>
      </c>
      <c r="H13" s="131">
        <f>($D13*$F13*($G13+'نیروی انسانی'!$E$43)*(1+'نیروی انسانی'!$E$42))</f>
        <v>28560</v>
      </c>
    </row>
    <row r="14" spans="2:8" x14ac:dyDescent="0.75">
      <c r="B14" s="130">
        <v>4</v>
      </c>
      <c r="C14" s="87" t="s">
        <v>304</v>
      </c>
      <c r="D14" s="88">
        <v>8</v>
      </c>
      <c r="E14" s="88" t="str">
        <f>'نیروی انسانی'!$E$44</f>
        <v>اقماری</v>
      </c>
      <c r="F14" s="88">
        <v>150</v>
      </c>
      <c r="G14" s="88">
        <v>12</v>
      </c>
      <c r="H14" s="131">
        <f>($D14*$F14*($G14+'نیروی انسانی'!$E$43)*(1+'نیروی انسانی'!$E$42))</f>
        <v>28560</v>
      </c>
    </row>
    <row r="15" spans="2:8" x14ac:dyDescent="0.75">
      <c r="B15" s="130">
        <v>5</v>
      </c>
      <c r="C15" s="87" t="s">
        <v>70</v>
      </c>
      <c r="D15" s="88">
        <v>2</v>
      </c>
      <c r="E15" s="88" t="str">
        <f>'نیروی انسانی'!$E$44</f>
        <v>اقماری</v>
      </c>
      <c r="F15" s="88">
        <v>100</v>
      </c>
      <c r="G15" s="88">
        <v>12</v>
      </c>
      <c r="H15" s="131">
        <f>($D15*$F15*($G15+'نیروی انسانی'!$E$43)*(1+'نیروی انسانی'!$E$42))</f>
        <v>4760</v>
      </c>
    </row>
    <row r="16" spans="2:8" x14ac:dyDescent="0.75">
      <c r="B16" s="130">
        <v>6</v>
      </c>
      <c r="C16" s="87" t="s">
        <v>71</v>
      </c>
      <c r="D16" s="88">
        <v>2</v>
      </c>
      <c r="E16" s="88" t="str">
        <f>'نیروی انسانی'!$E$45</f>
        <v>روزکار</v>
      </c>
      <c r="F16" s="88">
        <v>800</v>
      </c>
      <c r="G16" s="88">
        <v>12</v>
      </c>
      <c r="H16" s="131">
        <f>($D16*$F16*($G16+'نیروی انسانی'!$E$43)*(1+'نیروی انسانی'!$E$42))</f>
        <v>38080</v>
      </c>
    </row>
    <row r="17" spans="2:8" x14ac:dyDescent="0.75">
      <c r="B17" s="130">
        <v>7</v>
      </c>
      <c r="C17" s="87" t="s">
        <v>69</v>
      </c>
      <c r="D17" s="88">
        <v>2</v>
      </c>
      <c r="E17" s="88" t="str">
        <f>'نیروی انسانی'!$E$45</f>
        <v>روزکار</v>
      </c>
      <c r="F17" s="88">
        <v>500</v>
      </c>
      <c r="G17" s="88">
        <v>12</v>
      </c>
      <c r="H17" s="131">
        <f>($D17*$F17*($G17+'نیروی انسانی'!$E$43)*(1+'نیروی انسانی'!$E$42))</f>
        <v>23800</v>
      </c>
    </row>
    <row r="18" spans="2:8" x14ac:dyDescent="0.75">
      <c r="B18" s="130">
        <v>8</v>
      </c>
      <c r="C18" s="87" t="s">
        <v>306</v>
      </c>
      <c r="D18" s="88">
        <v>2</v>
      </c>
      <c r="E18" s="88" t="str">
        <f>'نیروی انسانی'!$E$45</f>
        <v>روزکار</v>
      </c>
      <c r="F18" s="88">
        <v>400</v>
      </c>
      <c r="G18" s="88">
        <v>12</v>
      </c>
      <c r="H18" s="131">
        <f>($D18*$F18*($G18+'نیروی انسانی'!$E$43)*(1+'نیروی انسانی'!$E$42))</f>
        <v>19040</v>
      </c>
    </row>
    <row r="19" spans="2:8" ht="20.149999999999999" thickBot="1" x14ac:dyDescent="0.9">
      <c r="B19" s="806" t="s">
        <v>17</v>
      </c>
      <c r="C19" s="807"/>
      <c r="D19" s="198">
        <f>SUM(D11:D18)</f>
        <v>30</v>
      </c>
      <c r="E19" s="198"/>
      <c r="F19" s="198" t="s">
        <v>0</v>
      </c>
      <c r="G19" s="198" t="s">
        <v>0</v>
      </c>
      <c r="H19" s="199">
        <f>SUM(H11:H18)</f>
        <v>271320</v>
      </c>
    </row>
    <row r="20" spans="2:8" ht="19.75" x14ac:dyDescent="0.85">
      <c r="B20" s="82"/>
      <c r="C20" s="82"/>
      <c r="D20" s="82"/>
      <c r="E20" s="82"/>
      <c r="F20" s="82"/>
      <c r="G20" s="82"/>
      <c r="H20" s="82"/>
    </row>
    <row r="21" spans="2:8" ht="20.149999999999999" thickBot="1" x14ac:dyDescent="0.9">
      <c r="B21" s="82"/>
      <c r="C21" s="82"/>
      <c r="D21" s="82"/>
      <c r="E21" s="82"/>
      <c r="F21" s="82"/>
      <c r="G21" s="82"/>
      <c r="H21" s="82"/>
    </row>
    <row r="22" spans="2:8" ht="19.75" x14ac:dyDescent="0.85">
      <c r="B22" s="672" t="s">
        <v>505</v>
      </c>
      <c r="C22" s="674"/>
      <c r="D22" s="674"/>
      <c r="E22" s="674"/>
      <c r="F22" s="674"/>
      <c r="G22" s="773"/>
      <c r="H22" s="82"/>
    </row>
    <row r="23" spans="2:8" ht="19.75" x14ac:dyDescent="0.85">
      <c r="B23" s="673" t="s">
        <v>65</v>
      </c>
      <c r="C23" s="675" t="s">
        <v>3</v>
      </c>
      <c r="D23" s="675" t="s">
        <v>1</v>
      </c>
      <c r="E23" s="675" t="s">
        <v>66</v>
      </c>
      <c r="F23" s="675"/>
      <c r="G23" s="808"/>
      <c r="H23" s="82"/>
    </row>
    <row r="24" spans="2:8" ht="39.450000000000003" x14ac:dyDescent="0.75">
      <c r="B24" s="673"/>
      <c r="C24" s="675"/>
      <c r="D24" s="675"/>
      <c r="E24" s="194" t="s">
        <v>313</v>
      </c>
      <c r="F24" s="194" t="s">
        <v>67</v>
      </c>
      <c r="G24" s="195" t="s">
        <v>495</v>
      </c>
    </row>
    <row r="25" spans="2:8" x14ac:dyDescent="0.75">
      <c r="B25" s="130">
        <v>1</v>
      </c>
      <c r="C25" s="87" t="s">
        <v>315</v>
      </c>
      <c r="D25" s="88">
        <v>1</v>
      </c>
      <c r="E25" s="88">
        <v>5000</v>
      </c>
      <c r="F25" s="88">
        <v>12</v>
      </c>
      <c r="G25" s="131">
        <f>($D25*$E25*($F25+'نیروی انسانی'!$E$43)*(1+'نیروی انسانی'!$E$42))</f>
        <v>119000</v>
      </c>
    </row>
    <row r="26" spans="2:8" x14ac:dyDescent="0.75">
      <c r="B26" s="130">
        <f>B25+1</f>
        <v>2</v>
      </c>
      <c r="C26" s="87" t="s">
        <v>325</v>
      </c>
      <c r="D26" s="88">
        <v>2</v>
      </c>
      <c r="E26" s="88">
        <v>500</v>
      </c>
      <c r="F26" s="88">
        <v>12</v>
      </c>
      <c r="G26" s="131">
        <f>($D26*$E26*($F26+'نیروی انسانی'!$E$43)*(1+'نیروی انسانی'!$E$42))</f>
        <v>23800</v>
      </c>
    </row>
    <row r="27" spans="2:8" x14ac:dyDescent="0.75">
      <c r="B27" s="130">
        <v>3</v>
      </c>
      <c r="C27" s="87" t="s">
        <v>316</v>
      </c>
      <c r="D27" s="88">
        <v>1</v>
      </c>
      <c r="E27" s="88">
        <v>4000</v>
      </c>
      <c r="F27" s="88">
        <v>12</v>
      </c>
      <c r="G27" s="131">
        <f>($D27*$E27*($F27+'نیروی انسانی'!$E$43)*(1+'نیروی انسانی'!$E$42))</f>
        <v>95200</v>
      </c>
    </row>
    <row r="28" spans="2:8" x14ac:dyDescent="0.75">
      <c r="B28" s="130">
        <f>B27+1</f>
        <v>4</v>
      </c>
      <c r="C28" s="87" t="s">
        <v>317</v>
      </c>
      <c r="D28" s="88">
        <v>1</v>
      </c>
      <c r="E28" s="88">
        <v>1500</v>
      </c>
      <c r="F28" s="88">
        <v>12</v>
      </c>
      <c r="G28" s="131">
        <f>($D28*$E28*($F28+'نیروی انسانی'!$E$43)*(1+'نیروی انسانی'!$E$42))</f>
        <v>35700</v>
      </c>
    </row>
    <row r="29" spans="2:8" x14ac:dyDescent="0.75">
      <c r="B29" s="130">
        <f>B28+1</f>
        <v>5</v>
      </c>
      <c r="C29" s="87" t="s">
        <v>318</v>
      </c>
      <c r="D29" s="88">
        <v>1</v>
      </c>
      <c r="E29" s="88">
        <v>2000</v>
      </c>
      <c r="F29" s="88">
        <v>12</v>
      </c>
      <c r="G29" s="131">
        <f>($D29*$E29*($F29+'نیروی انسانی'!$E$43)*(1+'نیروی انسانی'!$E$42))</f>
        <v>47600</v>
      </c>
    </row>
    <row r="30" spans="2:8" x14ac:dyDescent="0.75">
      <c r="B30" s="130">
        <f>B29+1</f>
        <v>6</v>
      </c>
      <c r="C30" s="89" t="s">
        <v>322</v>
      </c>
      <c r="D30" s="88">
        <v>1</v>
      </c>
      <c r="E30" s="88">
        <v>1800</v>
      </c>
      <c r="F30" s="88">
        <v>12</v>
      </c>
      <c r="G30" s="131">
        <f>($D30*$E30*($F30+'نیروی انسانی'!$E$43)*(1+'نیروی انسانی'!$E$42))</f>
        <v>42840</v>
      </c>
    </row>
    <row r="31" spans="2:8" x14ac:dyDescent="0.75">
      <c r="B31" s="130">
        <f>B30+1</f>
        <v>7</v>
      </c>
      <c r="C31" s="90" t="s">
        <v>323</v>
      </c>
      <c r="D31" s="88">
        <v>1</v>
      </c>
      <c r="E31" s="88">
        <v>2000</v>
      </c>
      <c r="F31" s="88">
        <v>12</v>
      </c>
      <c r="G31" s="131">
        <f>($D31*$E31*($F31+'نیروی انسانی'!$E$43)*(1+'نیروی انسانی'!$E$42))</f>
        <v>47600</v>
      </c>
    </row>
    <row r="32" spans="2:8" x14ac:dyDescent="0.75">
      <c r="B32" s="130">
        <f>B31+1</f>
        <v>8</v>
      </c>
      <c r="C32" s="87" t="s">
        <v>319</v>
      </c>
      <c r="D32" s="88">
        <v>3</v>
      </c>
      <c r="E32" s="88">
        <v>800</v>
      </c>
      <c r="F32" s="88">
        <v>12</v>
      </c>
      <c r="G32" s="131">
        <f>($D32*$E32*($F32+'نیروی انسانی'!$E$43)*(1+'نیروی انسانی'!$E$42))</f>
        <v>57120</v>
      </c>
    </row>
    <row r="33" spans="2:7" x14ac:dyDescent="0.75">
      <c r="B33" s="132">
        <v>9</v>
      </c>
      <c r="C33" s="103" t="s">
        <v>324</v>
      </c>
      <c r="D33" s="91">
        <v>5</v>
      </c>
      <c r="E33" s="88">
        <v>700</v>
      </c>
      <c r="F33" s="88">
        <v>12</v>
      </c>
      <c r="G33" s="131">
        <f>($D33*$E33*($F33+'نیروی انسانی'!$E$43)*(1+'نیروی انسانی'!$E$42))</f>
        <v>83300</v>
      </c>
    </row>
    <row r="34" spans="2:7" x14ac:dyDescent="0.75">
      <c r="B34" s="130">
        <v>10</v>
      </c>
      <c r="C34" s="87" t="s">
        <v>320</v>
      </c>
      <c r="D34" s="91">
        <v>1</v>
      </c>
      <c r="E34" s="88">
        <v>700</v>
      </c>
      <c r="F34" s="88">
        <v>12</v>
      </c>
      <c r="G34" s="131">
        <f>($D34*$E34*($F34+'نیروی انسانی'!$E$43)*(1+'نیروی انسانی'!$E$42))</f>
        <v>16660</v>
      </c>
    </row>
    <row r="35" spans="2:7" x14ac:dyDescent="0.75">
      <c r="B35" s="130">
        <v>11</v>
      </c>
      <c r="C35" s="90" t="s">
        <v>321</v>
      </c>
      <c r="D35" s="91">
        <v>2</v>
      </c>
      <c r="E35" s="88">
        <v>700</v>
      </c>
      <c r="F35" s="88">
        <v>12</v>
      </c>
      <c r="G35" s="131">
        <f>($D35*$E35*($F35+'نیروی انسانی'!$E$43)*(1+'نیروی انسانی'!$E$42))</f>
        <v>33320</v>
      </c>
    </row>
    <row r="36" spans="2:7" x14ac:dyDescent="0.75">
      <c r="B36" s="130">
        <v>12</v>
      </c>
      <c r="C36" s="90" t="s">
        <v>306</v>
      </c>
      <c r="D36" s="91">
        <v>2</v>
      </c>
      <c r="E36" s="88">
        <v>500</v>
      </c>
      <c r="F36" s="88">
        <v>12</v>
      </c>
      <c r="G36" s="131">
        <f>($D36*$E36*($F36+'نیروی انسانی'!$E$43)*(1+'نیروی انسانی'!$E$42))</f>
        <v>23800</v>
      </c>
    </row>
    <row r="37" spans="2:7" ht="20.149999999999999" thickBot="1" x14ac:dyDescent="0.9">
      <c r="B37" s="806" t="s">
        <v>17</v>
      </c>
      <c r="C37" s="807"/>
      <c r="D37" s="198">
        <f>SUM(D25:D36)</f>
        <v>21</v>
      </c>
      <c r="E37" s="198" t="s">
        <v>0</v>
      </c>
      <c r="F37" s="198" t="s">
        <v>0</v>
      </c>
      <c r="G37" s="199">
        <f>SUM(G25:G36)</f>
        <v>625940</v>
      </c>
    </row>
    <row r="39" spans="2:7" ht="18.899999999999999" thickBot="1" x14ac:dyDescent="0.8"/>
    <row r="40" spans="2:7" ht="19.75" x14ac:dyDescent="0.75">
      <c r="B40" s="803" t="s">
        <v>504</v>
      </c>
      <c r="C40" s="804"/>
      <c r="D40" s="804"/>
      <c r="E40" s="804"/>
      <c r="F40" s="805"/>
    </row>
    <row r="41" spans="2:7" ht="19.75" x14ac:dyDescent="0.85">
      <c r="B41" s="395" t="s">
        <v>65</v>
      </c>
      <c r="C41" s="77" t="s">
        <v>125</v>
      </c>
      <c r="D41" s="77" t="s">
        <v>38</v>
      </c>
      <c r="E41" s="77" t="s">
        <v>126</v>
      </c>
      <c r="F41" s="102" t="s">
        <v>128</v>
      </c>
    </row>
    <row r="42" spans="2:7" x14ac:dyDescent="0.75">
      <c r="B42" s="144">
        <v>1</v>
      </c>
      <c r="C42" s="220" t="s">
        <v>307</v>
      </c>
      <c r="D42" s="149" t="s">
        <v>93</v>
      </c>
      <c r="E42" s="231">
        <v>0.7</v>
      </c>
      <c r="F42" s="221"/>
    </row>
    <row r="43" spans="2:7" x14ac:dyDescent="0.75">
      <c r="B43" s="144">
        <v>2</v>
      </c>
      <c r="C43" s="220" t="s">
        <v>314</v>
      </c>
      <c r="D43" s="149" t="s">
        <v>140</v>
      </c>
      <c r="E43" s="349">
        <v>2</v>
      </c>
      <c r="F43" s="221"/>
    </row>
    <row r="44" spans="2:7" x14ac:dyDescent="0.75">
      <c r="B44" s="144">
        <v>3</v>
      </c>
      <c r="C44" s="149" t="s">
        <v>308</v>
      </c>
      <c r="D44" s="149" t="s">
        <v>0</v>
      </c>
      <c r="E44" s="230" t="s">
        <v>311</v>
      </c>
      <c r="F44" s="152" t="s">
        <v>310</v>
      </c>
    </row>
    <row r="45" spans="2:7" x14ac:dyDescent="0.75">
      <c r="B45" s="144">
        <v>4</v>
      </c>
      <c r="C45" s="149" t="s">
        <v>309</v>
      </c>
      <c r="D45" s="149" t="s">
        <v>0</v>
      </c>
      <c r="E45" s="393" t="s">
        <v>312</v>
      </c>
      <c r="F45" s="152" t="s">
        <v>0</v>
      </c>
    </row>
    <row r="46" spans="2:7" x14ac:dyDescent="0.75">
      <c r="B46" s="144">
        <v>5</v>
      </c>
      <c r="C46" s="220" t="s">
        <v>423</v>
      </c>
      <c r="D46" s="149" t="s">
        <v>93</v>
      </c>
      <c r="E46" s="231">
        <v>0.5</v>
      </c>
      <c r="F46" s="152"/>
    </row>
    <row r="47" spans="2:7" ht="18.899999999999999" thickBot="1" x14ac:dyDescent="0.8">
      <c r="B47" s="394">
        <v>6</v>
      </c>
      <c r="C47" s="228" t="s">
        <v>422</v>
      </c>
      <c r="D47" s="153" t="s">
        <v>93</v>
      </c>
      <c r="E47" s="345">
        <v>0.9</v>
      </c>
      <c r="F47" s="354"/>
    </row>
  </sheetData>
  <mergeCells count="14">
    <mergeCell ref="B8:H8"/>
    <mergeCell ref="B22:G22"/>
    <mergeCell ref="B40:F40"/>
    <mergeCell ref="E9:E10"/>
    <mergeCell ref="B37:C37"/>
    <mergeCell ref="B19:C19"/>
    <mergeCell ref="B9:B10"/>
    <mergeCell ref="C9:C10"/>
    <mergeCell ref="D9:D10"/>
    <mergeCell ref="F9:H9"/>
    <mergeCell ref="B23:B24"/>
    <mergeCell ref="C23:C24"/>
    <mergeCell ref="D23:D24"/>
    <mergeCell ref="E23:G2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B1:F13"/>
  <sheetViews>
    <sheetView rightToLeft="1" zoomScaleNormal="100" zoomScaleSheetLayoutView="130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3.53515625" style="61" customWidth="1"/>
    <col min="3" max="3" width="29" style="61" bestFit="1" customWidth="1"/>
    <col min="4" max="4" width="12.23046875" style="62" bestFit="1" customWidth="1"/>
    <col min="5" max="5" width="17" style="61" customWidth="1"/>
    <col min="6" max="6" width="17" style="62" bestFit="1" customWidth="1"/>
    <col min="7" max="253" width="10.23046875" style="61"/>
    <col min="254" max="254" width="3.53515625" style="61" customWidth="1"/>
    <col min="255" max="255" width="29" style="61" bestFit="1" customWidth="1"/>
    <col min="256" max="256" width="12.23046875" style="61" bestFit="1" customWidth="1"/>
    <col min="257" max="257" width="17" style="61" customWidth="1"/>
    <col min="258" max="258" width="17" style="61" bestFit="1" customWidth="1"/>
    <col min="259" max="509" width="10.23046875" style="61"/>
    <col min="510" max="510" width="3.53515625" style="61" customWidth="1"/>
    <col min="511" max="511" width="29" style="61" bestFit="1" customWidth="1"/>
    <col min="512" max="512" width="12.23046875" style="61" bestFit="1" customWidth="1"/>
    <col min="513" max="513" width="17" style="61" customWidth="1"/>
    <col min="514" max="514" width="17" style="61" bestFit="1" customWidth="1"/>
    <col min="515" max="765" width="10.23046875" style="61"/>
    <col min="766" max="766" width="3.53515625" style="61" customWidth="1"/>
    <col min="767" max="767" width="29" style="61" bestFit="1" customWidth="1"/>
    <col min="768" max="768" width="12.23046875" style="61" bestFit="1" customWidth="1"/>
    <col min="769" max="769" width="17" style="61" customWidth="1"/>
    <col min="770" max="770" width="17" style="61" bestFit="1" customWidth="1"/>
    <col min="771" max="1021" width="10.23046875" style="61"/>
    <col min="1022" max="1022" width="3.53515625" style="61" customWidth="1"/>
    <col min="1023" max="1023" width="29" style="61" bestFit="1" customWidth="1"/>
    <col min="1024" max="1024" width="12.23046875" style="61" bestFit="1" customWidth="1"/>
    <col min="1025" max="1025" width="17" style="61" customWidth="1"/>
    <col min="1026" max="1026" width="17" style="61" bestFit="1" customWidth="1"/>
    <col min="1027" max="1277" width="10.23046875" style="61"/>
    <col min="1278" max="1278" width="3.53515625" style="61" customWidth="1"/>
    <col min="1279" max="1279" width="29" style="61" bestFit="1" customWidth="1"/>
    <col min="1280" max="1280" width="12.23046875" style="61" bestFit="1" customWidth="1"/>
    <col min="1281" max="1281" width="17" style="61" customWidth="1"/>
    <col min="1282" max="1282" width="17" style="61" bestFit="1" customWidth="1"/>
    <col min="1283" max="1533" width="10.23046875" style="61"/>
    <col min="1534" max="1534" width="3.53515625" style="61" customWidth="1"/>
    <col min="1535" max="1535" width="29" style="61" bestFit="1" customWidth="1"/>
    <col min="1536" max="1536" width="12.23046875" style="61" bestFit="1" customWidth="1"/>
    <col min="1537" max="1537" width="17" style="61" customWidth="1"/>
    <col min="1538" max="1538" width="17" style="61" bestFit="1" customWidth="1"/>
    <col min="1539" max="1789" width="10.23046875" style="61"/>
    <col min="1790" max="1790" width="3.53515625" style="61" customWidth="1"/>
    <col min="1791" max="1791" width="29" style="61" bestFit="1" customWidth="1"/>
    <col min="1792" max="1792" width="12.23046875" style="61" bestFit="1" customWidth="1"/>
    <col min="1793" max="1793" width="17" style="61" customWidth="1"/>
    <col min="1794" max="1794" width="17" style="61" bestFit="1" customWidth="1"/>
    <col min="1795" max="2045" width="10.23046875" style="61"/>
    <col min="2046" max="2046" width="3.53515625" style="61" customWidth="1"/>
    <col min="2047" max="2047" width="29" style="61" bestFit="1" customWidth="1"/>
    <col min="2048" max="2048" width="12.23046875" style="61" bestFit="1" customWidth="1"/>
    <col min="2049" max="2049" width="17" style="61" customWidth="1"/>
    <col min="2050" max="2050" width="17" style="61" bestFit="1" customWidth="1"/>
    <col min="2051" max="2301" width="10.23046875" style="61"/>
    <col min="2302" max="2302" width="3.53515625" style="61" customWidth="1"/>
    <col min="2303" max="2303" width="29" style="61" bestFit="1" customWidth="1"/>
    <col min="2304" max="2304" width="12.23046875" style="61" bestFit="1" customWidth="1"/>
    <col min="2305" max="2305" width="17" style="61" customWidth="1"/>
    <col min="2306" max="2306" width="17" style="61" bestFit="1" customWidth="1"/>
    <col min="2307" max="2557" width="10.23046875" style="61"/>
    <col min="2558" max="2558" width="3.53515625" style="61" customWidth="1"/>
    <col min="2559" max="2559" width="29" style="61" bestFit="1" customWidth="1"/>
    <col min="2560" max="2560" width="12.23046875" style="61" bestFit="1" customWidth="1"/>
    <col min="2561" max="2561" width="17" style="61" customWidth="1"/>
    <col min="2562" max="2562" width="17" style="61" bestFit="1" customWidth="1"/>
    <col min="2563" max="2813" width="10.23046875" style="61"/>
    <col min="2814" max="2814" width="3.53515625" style="61" customWidth="1"/>
    <col min="2815" max="2815" width="29" style="61" bestFit="1" customWidth="1"/>
    <col min="2816" max="2816" width="12.23046875" style="61" bestFit="1" customWidth="1"/>
    <col min="2817" max="2817" width="17" style="61" customWidth="1"/>
    <col min="2818" max="2818" width="17" style="61" bestFit="1" customWidth="1"/>
    <col min="2819" max="3069" width="10.23046875" style="61"/>
    <col min="3070" max="3070" width="3.53515625" style="61" customWidth="1"/>
    <col min="3071" max="3071" width="29" style="61" bestFit="1" customWidth="1"/>
    <col min="3072" max="3072" width="12.23046875" style="61" bestFit="1" customWidth="1"/>
    <col min="3073" max="3073" width="17" style="61" customWidth="1"/>
    <col min="3074" max="3074" width="17" style="61" bestFit="1" customWidth="1"/>
    <col min="3075" max="3325" width="10.23046875" style="61"/>
    <col min="3326" max="3326" width="3.53515625" style="61" customWidth="1"/>
    <col min="3327" max="3327" width="29" style="61" bestFit="1" customWidth="1"/>
    <col min="3328" max="3328" width="12.23046875" style="61" bestFit="1" customWidth="1"/>
    <col min="3329" max="3329" width="17" style="61" customWidth="1"/>
    <col min="3330" max="3330" width="17" style="61" bestFit="1" customWidth="1"/>
    <col min="3331" max="3581" width="10.23046875" style="61"/>
    <col min="3582" max="3582" width="3.53515625" style="61" customWidth="1"/>
    <col min="3583" max="3583" width="29" style="61" bestFit="1" customWidth="1"/>
    <col min="3584" max="3584" width="12.23046875" style="61" bestFit="1" customWidth="1"/>
    <col min="3585" max="3585" width="17" style="61" customWidth="1"/>
    <col min="3586" max="3586" width="17" style="61" bestFit="1" customWidth="1"/>
    <col min="3587" max="3837" width="10.23046875" style="61"/>
    <col min="3838" max="3838" width="3.53515625" style="61" customWidth="1"/>
    <col min="3839" max="3839" width="29" style="61" bestFit="1" customWidth="1"/>
    <col min="3840" max="3840" width="12.23046875" style="61" bestFit="1" customWidth="1"/>
    <col min="3841" max="3841" width="17" style="61" customWidth="1"/>
    <col min="3842" max="3842" width="17" style="61" bestFit="1" customWidth="1"/>
    <col min="3843" max="4093" width="10.23046875" style="61"/>
    <col min="4094" max="4094" width="3.53515625" style="61" customWidth="1"/>
    <col min="4095" max="4095" width="29" style="61" bestFit="1" customWidth="1"/>
    <col min="4096" max="4096" width="12.23046875" style="61" bestFit="1" customWidth="1"/>
    <col min="4097" max="4097" width="17" style="61" customWidth="1"/>
    <col min="4098" max="4098" width="17" style="61" bestFit="1" customWidth="1"/>
    <col min="4099" max="4349" width="10.23046875" style="61"/>
    <col min="4350" max="4350" width="3.53515625" style="61" customWidth="1"/>
    <col min="4351" max="4351" width="29" style="61" bestFit="1" customWidth="1"/>
    <col min="4352" max="4352" width="12.23046875" style="61" bestFit="1" customWidth="1"/>
    <col min="4353" max="4353" width="17" style="61" customWidth="1"/>
    <col min="4354" max="4354" width="17" style="61" bestFit="1" customWidth="1"/>
    <col min="4355" max="4605" width="10.23046875" style="61"/>
    <col min="4606" max="4606" width="3.53515625" style="61" customWidth="1"/>
    <col min="4607" max="4607" width="29" style="61" bestFit="1" customWidth="1"/>
    <col min="4608" max="4608" width="12.23046875" style="61" bestFit="1" customWidth="1"/>
    <col min="4609" max="4609" width="17" style="61" customWidth="1"/>
    <col min="4610" max="4610" width="17" style="61" bestFit="1" customWidth="1"/>
    <col min="4611" max="4861" width="10.23046875" style="61"/>
    <col min="4862" max="4862" width="3.53515625" style="61" customWidth="1"/>
    <col min="4863" max="4863" width="29" style="61" bestFit="1" customWidth="1"/>
    <col min="4864" max="4864" width="12.23046875" style="61" bestFit="1" customWidth="1"/>
    <col min="4865" max="4865" width="17" style="61" customWidth="1"/>
    <col min="4866" max="4866" width="17" style="61" bestFit="1" customWidth="1"/>
    <col min="4867" max="5117" width="10.23046875" style="61"/>
    <col min="5118" max="5118" width="3.53515625" style="61" customWidth="1"/>
    <col min="5119" max="5119" width="29" style="61" bestFit="1" customWidth="1"/>
    <col min="5120" max="5120" width="12.23046875" style="61" bestFit="1" customWidth="1"/>
    <col min="5121" max="5121" width="17" style="61" customWidth="1"/>
    <col min="5122" max="5122" width="17" style="61" bestFit="1" customWidth="1"/>
    <col min="5123" max="5373" width="10.23046875" style="61"/>
    <col min="5374" max="5374" width="3.53515625" style="61" customWidth="1"/>
    <col min="5375" max="5375" width="29" style="61" bestFit="1" customWidth="1"/>
    <col min="5376" max="5376" width="12.23046875" style="61" bestFit="1" customWidth="1"/>
    <col min="5377" max="5377" width="17" style="61" customWidth="1"/>
    <col min="5378" max="5378" width="17" style="61" bestFit="1" customWidth="1"/>
    <col min="5379" max="5629" width="10.23046875" style="61"/>
    <col min="5630" max="5630" width="3.53515625" style="61" customWidth="1"/>
    <col min="5631" max="5631" width="29" style="61" bestFit="1" customWidth="1"/>
    <col min="5632" max="5632" width="12.23046875" style="61" bestFit="1" customWidth="1"/>
    <col min="5633" max="5633" width="17" style="61" customWidth="1"/>
    <col min="5634" max="5634" width="17" style="61" bestFit="1" customWidth="1"/>
    <col min="5635" max="5885" width="10.23046875" style="61"/>
    <col min="5886" max="5886" width="3.53515625" style="61" customWidth="1"/>
    <col min="5887" max="5887" width="29" style="61" bestFit="1" customWidth="1"/>
    <col min="5888" max="5888" width="12.23046875" style="61" bestFit="1" customWidth="1"/>
    <col min="5889" max="5889" width="17" style="61" customWidth="1"/>
    <col min="5890" max="5890" width="17" style="61" bestFit="1" customWidth="1"/>
    <col min="5891" max="6141" width="10.23046875" style="61"/>
    <col min="6142" max="6142" width="3.53515625" style="61" customWidth="1"/>
    <col min="6143" max="6143" width="29" style="61" bestFit="1" customWidth="1"/>
    <col min="6144" max="6144" width="12.23046875" style="61" bestFit="1" customWidth="1"/>
    <col min="6145" max="6145" width="17" style="61" customWidth="1"/>
    <col min="6146" max="6146" width="17" style="61" bestFit="1" customWidth="1"/>
    <col min="6147" max="6397" width="10.23046875" style="61"/>
    <col min="6398" max="6398" width="3.53515625" style="61" customWidth="1"/>
    <col min="6399" max="6399" width="29" style="61" bestFit="1" customWidth="1"/>
    <col min="6400" max="6400" width="12.23046875" style="61" bestFit="1" customWidth="1"/>
    <col min="6401" max="6401" width="17" style="61" customWidth="1"/>
    <col min="6402" max="6402" width="17" style="61" bestFit="1" customWidth="1"/>
    <col min="6403" max="6653" width="10.23046875" style="61"/>
    <col min="6654" max="6654" width="3.53515625" style="61" customWidth="1"/>
    <col min="6655" max="6655" width="29" style="61" bestFit="1" customWidth="1"/>
    <col min="6656" max="6656" width="12.23046875" style="61" bestFit="1" customWidth="1"/>
    <col min="6657" max="6657" width="17" style="61" customWidth="1"/>
    <col min="6658" max="6658" width="17" style="61" bestFit="1" customWidth="1"/>
    <col min="6659" max="6909" width="10.23046875" style="61"/>
    <col min="6910" max="6910" width="3.53515625" style="61" customWidth="1"/>
    <col min="6911" max="6911" width="29" style="61" bestFit="1" customWidth="1"/>
    <col min="6912" max="6912" width="12.23046875" style="61" bestFit="1" customWidth="1"/>
    <col min="6913" max="6913" width="17" style="61" customWidth="1"/>
    <col min="6914" max="6914" width="17" style="61" bestFit="1" customWidth="1"/>
    <col min="6915" max="7165" width="10.23046875" style="61"/>
    <col min="7166" max="7166" width="3.53515625" style="61" customWidth="1"/>
    <col min="7167" max="7167" width="29" style="61" bestFit="1" customWidth="1"/>
    <col min="7168" max="7168" width="12.23046875" style="61" bestFit="1" customWidth="1"/>
    <col min="7169" max="7169" width="17" style="61" customWidth="1"/>
    <col min="7170" max="7170" width="17" style="61" bestFit="1" customWidth="1"/>
    <col min="7171" max="7421" width="10.23046875" style="61"/>
    <col min="7422" max="7422" width="3.53515625" style="61" customWidth="1"/>
    <col min="7423" max="7423" width="29" style="61" bestFit="1" customWidth="1"/>
    <col min="7424" max="7424" width="12.23046875" style="61" bestFit="1" customWidth="1"/>
    <col min="7425" max="7425" width="17" style="61" customWidth="1"/>
    <col min="7426" max="7426" width="17" style="61" bestFit="1" customWidth="1"/>
    <col min="7427" max="7677" width="10.23046875" style="61"/>
    <col min="7678" max="7678" width="3.53515625" style="61" customWidth="1"/>
    <col min="7679" max="7679" width="29" style="61" bestFit="1" customWidth="1"/>
    <col min="7680" max="7680" width="12.23046875" style="61" bestFit="1" customWidth="1"/>
    <col min="7681" max="7681" width="17" style="61" customWidth="1"/>
    <col min="7682" max="7682" width="17" style="61" bestFit="1" customWidth="1"/>
    <col min="7683" max="7933" width="10.23046875" style="61"/>
    <col min="7934" max="7934" width="3.53515625" style="61" customWidth="1"/>
    <col min="7935" max="7935" width="29" style="61" bestFit="1" customWidth="1"/>
    <col min="7936" max="7936" width="12.23046875" style="61" bestFit="1" customWidth="1"/>
    <col min="7937" max="7937" width="17" style="61" customWidth="1"/>
    <col min="7938" max="7938" width="17" style="61" bestFit="1" customWidth="1"/>
    <col min="7939" max="8189" width="10.23046875" style="61"/>
    <col min="8190" max="8190" width="3.53515625" style="61" customWidth="1"/>
    <col min="8191" max="8191" width="29" style="61" bestFit="1" customWidth="1"/>
    <col min="8192" max="8192" width="12.23046875" style="61" bestFit="1" customWidth="1"/>
    <col min="8193" max="8193" width="17" style="61" customWidth="1"/>
    <col min="8194" max="8194" width="17" style="61" bestFit="1" customWidth="1"/>
    <col min="8195" max="8445" width="10.23046875" style="61"/>
    <col min="8446" max="8446" width="3.53515625" style="61" customWidth="1"/>
    <col min="8447" max="8447" width="29" style="61" bestFit="1" customWidth="1"/>
    <col min="8448" max="8448" width="12.23046875" style="61" bestFit="1" customWidth="1"/>
    <col min="8449" max="8449" width="17" style="61" customWidth="1"/>
    <col min="8450" max="8450" width="17" style="61" bestFit="1" customWidth="1"/>
    <col min="8451" max="8701" width="10.23046875" style="61"/>
    <col min="8702" max="8702" width="3.53515625" style="61" customWidth="1"/>
    <col min="8703" max="8703" width="29" style="61" bestFit="1" customWidth="1"/>
    <col min="8704" max="8704" width="12.23046875" style="61" bestFit="1" customWidth="1"/>
    <col min="8705" max="8705" width="17" style="61" customWidth="1"/>
    <col min="8706" max="8706" width="17" style="61" bestFit="1" customWidth="1"/>
    <col min="8707" max="8957" width="10.23046875" style="61"/>
    <col min="8958" max="8958" width="3.53515625" style="61" customWidth="1"/>
    <col min="8959" max="8959" width="29" style="61" bestFit="1" customWidth="1"/>
    <col min="8960" max="8960" width="12.23046875" style="61" bestFit="1" customWidth="1"/>
    <col min="8961" max="8961" width="17" style="61" customWidth="1"/>
    <col min="8962" max="8962" width="17" style="61" bestFit="1" customWidth="1"/>
    <col min="8963" max="9213" width="10.23046875" style="61"/>
    <col min="9214" max="9214" width="3.53515625" style="61" customWidth="1"/>
    <col min="9215" max="9215" width="29" style="61" bestFit="1" customWidth="1"/>
    <col min="9216" max="9216" width="12.23046875" style="61" bestFit="1" customWidth="1"/>
    <col min="9217" max="9217" width="17" style="61" customWidth="1"/>
    <col min="9218" max="9218" width="17" style="61" bestFit="1" customWidth="1"/>
    <col min="9219" max="9469" width="10.23046875" style="61"/>
    <col min="9470" max="9470" width="3.53515625" style="61" customWidth="1"/>
    <col min="9471" max="9471" width="29" style="61" bestFit="1" customWidth="1"/>
    <col min="9472" max="9472" width="12.23046875" style="61" bestFit="1" customWidth="1"/>
    <col min="9473" max="9473" width="17" style="61" customWidth="1"/>
    <col min="9474" max="9474" width="17" style="61" bestFit="1" customWidth="1"/>
    <col min="9475" max="9725" width="10.23046875" style="61"/>
    <col min="9726" max="9726" width="3.53515625" style="61" customWidth="1"/>
    <col min="9727" max="9727" width="29" style="61" bestFit="1" customWidth="1"/>
    <col min="9728" max="9728" width="12.23046875" style="61" bestFit="1" customWidth="1"/>
    <col min="9729" max="9729" width="17" style="61" customWidth="1"/>
    <col min="9730" max="9730" width="17" style="61" bestFit="1" customWidth="1"/>
    <col min="9731" max="9981" width="10.23046875" style="61"/>
    <col min="9982" max="9982" width="3.53515625" style="61" customWidth="1"/>
    <col min="9983" max="9983" width="29" style="61" bestFit="1" customWidth="1"/>
    <col min="9984" max="9984" width="12.23046875" style="61" bestFit="1" customWidth="1"/>
    <col min="9985" max="9985" width="17" style="61" customWidth="1"/>
    <col min="9986" max="9986" width="17" style="61" bestFit="1" customWidth="1"/>
    <col min="9987" max="10237" width="10.23046875" style="61"/>
    <col min="10238" max="10238" width="3.53515625" style="61" customWidth="1"/>
    <col min="10239" max="10239" width="29" style="61" bestFit="1" customWidth="1"/>
    <col min="10240" max="10240" width="12.23046875" style="61" bestFit="1" customWidth="1"/>
    <col min="10241" max="10241" width="17" style="61" customWidth="1"/>
    <col min="10242" max="10242" width="17" style="61" bestFit="1" customWidth="1"/>
    <col min="10243" max="10493" width="10.23046875" style="61"/>
    <col min="10494" max="10494" width="3.53515625" style="61" customWidth="1"/>
    <col min="10495" max="10495" width="29" style="61" bestFit="1" customWidth="1"/>
    <col min="10496" max="10496" width="12.23046875" style="61" bestFit="1" customWidth="1"/>
    <col min="10497" max="10497" width="17" style="61" customWidth="1"/>
    <col min="10498" max="10498" width="17" style="61" bestFit="1" customWidth="1"/>
    <col min="10499" max="10749" width="10.23046875" style="61"/>
    <col min="10750" max="10750" width="3.53515625" style="61" customWidth="1"/>
    <col min="10751" max="10751" width="29" style="61" bestFit="1" customWidth="1"/>
    <col min="10752" max="10752" width="12.23046875" style="61" bestFit="1" customWidth="1"/>
    <col min="10753" max="10753" width="17" style="61" customWidth="1"/>
    <col min="10754" max="10754" width="17" style="61" bestFit="1" customWidth="1"/>
    <col min="10755" max="11005" width="10.23046875" style="61"/>
    <col min="11006" max="11006" width="3.53515625" style="61" customWidth="1"/>
    <col min="11007" max="11007" width="29" style="61" bestFit="1" customWidth="1"/>
    <col min="11008" max="11008" width="12.23046875" style="61" bestFit="1" customWidth="1"/>
    <col min="11009" max="11009" width="17" style="61" customWidth="1"/>
    <col min="11010" max="11010" width="17" style="61" bestFit="1" customWidth="1"/>
    <col min="11011" max="11261" width="10.23046875" style="61"/>
    <col min="11262" max="11262" width="3.53515625" style="61" customWidth="1"/>
    <col min="11263" max="11263" width="29" style="61" bestFit="1" customWidth="1"/>
    <col min="11264" max="11264" width="12.23046875" style="61" bestFit="1" customWidth="1"/>
    <col min="11265" max="11265" width="17" style="61" customWidth="1"/>
    <col min="11266" max="11266" width="17" style="61" bestFit="1" customWidth="1"/>
    <col min="11267" max="11517" width="10.23046875" style="61"/>
    <col min="11518" max="11518" width="3.53515625" style="61" customWidth="1"/>
    <col min="11519" max="11519" width="29" style="61" bestFit="1" customWidth="1"/>
    <col min="11520" max="11520" width="12.23046875" style="61" bestFit="1" customWidth="1"/>
    <col min="11521" max="11521" width="17" style="61" customWidth="1"/>
    <col min="11522" max="11522" width="17" style="61" bestFit="1" customWidth="1"/>
    <col min="11523" max="11773" width="10.23046875" style="61"/>
    <col min="11774" max="11774" width="3.53515625" style="61" customWidth="1"/>
    <col min="11775" max="11775" width="29" style="61" bestFit="1" customWidth="1"/>
    <col min="11776" max="11776" width="12.23046875" style="61" bestFit="1" customWidth="1"/>
    <col min="11777" max="11777" width="17" style="61" customWidth="1"/>
    <col min="11778" max="11778" width="17" style="61" bestFit="1" customWidth="1"/>
    <col min="11779" max="12029" width="10.23046875" style="61"/>
    <col min="12030" max="12030" width="3.53515625" style="61" customWidth="1"/>
    <col min="12031" max="12031" width="29" style="61" bestFit="1" customWidth="1"/>
    <col min="12032" max="12032" width="12.23046875" style="61" bestFit="1" customWidth="1"/>
    <col min="12033" max="12033" width="17" style="61" customWidth="1"/>
    <col min="12034" max="12034" width="17" style="61" bestFit="1" customWidth="1"/>
    <col min="12035" max="12285" width="10.23046875" style="61"/>
    <col min="12286" max="12286" width="3.53515625" style="61" customWidth="1"/>
    <col min="12287" max="12287" width="29" style="61" bestFit="1" customWidth="1"/>
    <col min="12288" max="12288" width="12.23046875" style="61" bestFit="1" customWidth="1"/>
    <col min="12289" max="12289" width="17" style="61" customWidth="1"/>
    <col min="12290" max="12290" width="17" style="61" bestFit="1" customWidth="1"/>
    <col min="12291" max="12541" width="10.23046875" style="61"/>
    <col min="12542" max="12542" width="3.53515625" style="61" customWidth="1"/>
    <col min="12543" max="12543" width="29" style="61" bestFit="1" customWidth="1"/>
    <col min="12544" max="12544" width="12.23046875" style="61" bestFit="1" customWidth="1"/>
    <col min="12545" max="12545" width="17" style="61" customWidth="1"/>
    <col min="12546" max="12546" width="17" style="61" bestFit="1" customWidth="1"/>
    <col min="12547" max="12797" width="10.23046875" style="61"/>
    <col min="12798" max="12798" width="3.53515625" style="61" customWidth="1"/>
    <col min="12799" max="12799" width="29" style="61" bestFit="1" customWidth="1"/>
    <col min="12800" max="12800" width="12.23046875" style="61" bestFit="1" customWidth="1"/>
    <col min="12801" max="12801" width="17" style="61" customWidth="1"/>
    <col min="12802" max="12802" width="17" style="61" bestFit="1" customWidth="1"/>
    <col min="12803" max="13053" width="10.23046875" style="61"/>
    <col min="13054" max="13054" width="3.53515625" style="61" customWidth="1"/>
    <col min="13055" max="13055" width="29" style="61" bestFit="1" customWidth="1"/>
    <col min="13056" max="13056" width="12.23046875" style="61" bestFit="1" customWidth="1"/>
    <col min="13057" max="13057" width="17" style="61" customWidth="1"/>
    <col min="13058" max="13058" width="17" style="61" bestFit="1" customWidth="1"/>
    <col min="13059" max="13309" width="10.23046875" style="61"/>
    <col min="13310" max="13310" width="3.53515625" style="61" customWidth="1"/>
    <col min="13311" max="13311" width="29" style="61" bestFit="1" customWidth="1"/>
    <col min="13312" max="13312" width="12.23046875" style="61" bestFit="1" customWidth="1"/>
    <col min="13313" max="13313" width="17" style="61" customWidth="1"/>
    <col min="13314" max="13314" width="17" style="61" bestFit="1" customWidth="1"/>
    <col min="13315" max="13565" width="10.23046875" style="61"/>
    <col min="13566" max="13566" width="3.53515625" style="61" customWidth="1"/>
    <col min="13567" max="13567" width="29" style="61" bestFit="1" customWidth="1"/>
    <col min="13568" max="13568" width="12.23046875" style="61" bestFit="1" customWidth="1"/>
    <col min="13569" max="13569" width="17" style="61" customWidth="1"/>
    <col min="13570" max="13570" width="17" style="61" bestFit="1" customWidth="1"/>
    <col min="13571" max="13821" width="10.23046875" style="61"/>
    <col min="13822" max="13822" width="3.53515625" style="61" customWidth="1"/>
    <col min="13823" max="13823" width="29" style="61" bestFit="1" customWidth="1"/>
    <col min="13824" max="13824" width="12.23046875" style="61" bestFit="1" customWidth="1"/>
    <col min="13825" max="13825" width="17" style="61" customWidth="1"/>
    <col min="13826" max="13826" width="17" style="61" bestFit="1" customWidth="1"/>
    <col min="13827" max="14077" width="10.23046875" style="61"/>
    <col min="14078" max="14078" width="3.53515625" style="61" customWidth="1"/>
    <col min="14079" max="14079" width="29" style="61" bestFit="1" customWidth="1"/>
    <col min="14080" max="14080" width="12.23046875" style="61" bestFit="1" customWidth="1"/>
    <col min="14081" max="14081" width="17" style="61" customWidth="1"/>
    <col min="14082" max="14082" width="17" style="61" bestFit="1" customWidth="1"/>
    <col min="14083" max="14333" width="10.23046875" style="61"/>
    <col min="14334" max="14334" width="3.53515625" style="61" customWidth="1"/>
    <col min="14335" max="14335" width="29" style="61" bestFit="1" customWidth="1"/>
    <col min="14336" max="14336" width="12.23046875" style="61" bestFit="1" customWidth="1"/>
    <col min="14337" max="14337" width="17" style="61" customWidth="1"/>
    <col min="14338" max="14338" width="17" style="61" bestFit="1" customWidth="1"/>
    <col min="14339" max="14589" width="10.23046875" style="61"/>
    <col min="14590" max="14590" width="3.53515625" style="61" customWidth="1"/>
    <col min="14591" max="14591" width="29" style="61" bestFit="1" customWidth="1"/>
    <col min="14592" max="14592" width="12.23046875" style="61" bestFit="1" customWidth="1"/>
    <col min="14593" max="14593" width="17" style="61" customWidth="1"/>
    <col min="14594" max="14594" width="17" style="61" bestFit="1" customWidth="1"/>
    <col min="14595" max="14845" width="10.23046875" style="61"/>
    <col min="14846" max="14846" width="3.53515625" style="61" customWidth="1"/>
    <col min="14847" max="14847" width="29" style="61" bestFit="1" customWidth="1"/>
    <col min="14848" max="14848" width="12.23046875" style="61" bestFit="1" customWidth="1"/>
    <col min="14849" max="14849" width="17" style="61" customWidth="1"/>
    <col min="14850" max="14850" width="17" style="61" bestFit="1" customWidth="1"/>
    <col min="14851" max="15101" width="10.23046875" style="61"/>
    <col min="15102" max="15102" width="3.53515625" style="61" customWidth="1"/>
    <col min="15103" max="15103" width="29" style="61" bestFit="1" customWidth="1"/>
    <col min="15104" max="15104" width="12.23046875" style="61" bestFit="1" customWidth="1"/>
    <col min="15105" max="15105" width="17" style="61" customWidth="1"/>
    <col min="15106" max="15106" width="17" style="61" bestFit="1" customWidth="1"/>
    <col min="15107" max="15357" width="10.23046875" style="61"/>
    <col min="15358" max="15358" width="3.53515625" style="61" customWidth="1"/>
    <col min="15359" max="15359" width="29" style="61" bestFit="1" customWidth="1"/>
    <col min="15360" max="15360" width="12.23046875" style="61" bestFit="1" customWidth="1"/>
    <col min="15361" max="15361" width="17" style="61" customWidth="1"/>
    <col min="15362" max="15362" width="17" style="61" bestFit="1" customWidth="1"/>
    <col min="15363" max="15613" width="10.23046875" style="61"/>
    <col min="15614" max="15614" width="3.53515625" style="61" customWidth="1"/>
    <col min="15615" max="15615" width="29" style="61" bestFit="1" customWidth="1"/>
    <col min="15616" max="15616" width="12.23046875" style="61" bestFit="1" customWidth="1"/>
    <col min="15617" max="15617" width="17" style="61" customWidth="1"/>
    <col min="15618" max="15618" width="17" style="61" bestFit="1" customWidth="1"/>
    <col min="15619" max="15869" width="10.23046875" style="61"/>
    <col min="15870" max="15870" width="3.53515625" style="61" customWidth="1"/>
    <col min="15871" max="15871" width="29" style="61" bestFit="1" customWidth="1"/>
    <col min="15872" max="15872" width="12.23046875" style="61" bestFit="1" customWidth="1"/>
    <col min="15873" max="15873" width="17" style="61" customWidth="1"/>
    <col min="15874" max="15874" width="17" style="61" bestFit="1" customWidth="1"/>
    <col min="15875" max="16125" width="10.23046875" style="61"/>
    <col min="16126" max="16126" width="3.53515625" style="61" customWidth="1"/>
    <col min="16127" max="16127" width="29" style="61" bestFit="1" customWidth="1"/>
    <col min="16128" max="16128" width="12.23046875" style="61" bestFit="1" customWidth="1"/>
    <col min="16129" max="16129" width="17" style="61" customWidth="1"/>
    <col min="16130" max="16130" width="17" style="61" bestFit="1" customWidth="1"/>
    <col min="16131" max="16384" width="10.23046875" style="61"/>
  </cols>
  <sheetData>
    <row r="1" spans="2:6" ht="18.899999999999999" thickBot="1" x14ac:dyDescent="0.8"/>
    <row r="2" spans="2:6" ht="18.75" customHeight="1" x14ac:dyDescent="0.75">
      <c r="B2" s="800" t="s">
        <v>65</v>
      </c>
      <c r="C2" s="796" t="s">
        <v>3</v>
      </c>
      <c r="D2" s="168" t="s">
        <v>4</v>
      </c>
      <c r="E2" s="796" t="s">
        <v>30</v>
      </c>
      <c r="F2" s="169" t="s">
        <v>13</v>
      </c>
    </row>
    <row r="3" spans="2:6" ht="19.5" customHeight="1" x14ac:dyDescent="0.75">
      <c r="B3" s="801"/>
      <c r="C3" s="797"/>
      <c r="D3" s="387" t="s">
        <v>56</v>
      </c>
      <c r="E3" s="797"/>
      <c r="F3" s="388" t="s">
        <v>56</v>
      </c>
    </row>
    <row r="4" spans="2:6" x14ac:dyDescent="0.75">
      <c r="B4" s="132">
        <v>1</v>
      </c>
      <c r="C4" s="146" t="s">
        <v>503</v>
      </c>
      <c r="D4" s="145">
        <f>تعميرات!D4</f>
        <v>311202</v>
      </c>
      <c r="E4" s="389">
        <v>0.01</v>
      </c>
      <c r="F4" s="390">
        <f>E4*D4</f>
        <v>3112.02</v>
      </c>
    </row>
    <row r="5" spans="2:6" x14ac:dyDescent="0.75">
      <c r="B5" s="132">
        <v>2</v>
      </c>
      <c r="C5" s="146" t="s">
        <v>8</v>
      </c>
      <c r="D5" s="145">
        <f>SUM('سرمایه ثابت'!$G$33,'سرمایه ثابت'!$G$39,'سرمایه ثابت'!$G$45,'سرمایه ثابت'!$G$50,'سرمایه ثابت'!$G$51,'سرمایه ثابت'!$G$54,'سرمایه ثابت'!$G$59)</f>
        <v>3569355.4454182214</v>
      </c>
      <c r="E5" s="389">
        <v>0.01</v>
      </c>
      <c r="F5" s="390">
        <f>E5*D5</f>
        <v>35693.554454182216</v>
      </c>
    </row>
    <row r="6" spans="2:6" x14ac:dyDescent="0.75">
      <c r="B6" s="132">
        <v>3</v>
      </c>
      <c r="C6" s="146" t="s">
        <v>28</v>
      </c>
      <c r="D6" s="145">
        <f>'سرمایه ثابت'!G64</f>
        <v>40668.178167288548</v>
      </c>
      <c r="E6" s="389">
        <v>0.01</v>
      </c>
      <c r="F6" s="390">
        <f>E6*D6</f>
        <v>406.68178167288551</v>
      </c>
    </row>
    <row r="7" spans="2:6" x14ac:dyDescent="0.75">
      <c r="B7" s="132">
        <v>4</v>
      </c>
      <c r="C7" s="146" t="s">
        <v>9</v>
      </c>
      <c r="D7" s="145">
        <f>'سرمایه ثابت'!G65</f>
        <v>37939.14141175861</v>
      </c>
      <c r="E7" s="389">
        <v>0.01</v>
      </c>
      <c r="F7" s="390">
        <f>E7*D7</f>
        <v>379.39141411758612</v>
      </c>
    </row>
    <row r="8" spans="2:6" ht="20.149999999999999" thickBot="1" x14ac:dyDescent="0.8">
      <c r="B8" s="809" t="s">
        <v>2</v>
      </c>
      <c r="C8" s="810"/>
      <c r="D8" s="177">
        <f>SUM(D4:D7)</f>
        <v>3959164.7649972686</v>
      </c>
      <c r="E8" s="391" t="s">
        <v>0</v>
      </c>
      <c r="F8" s="179">
        <f>SUM(F4:F7)</f>
        <v>39591.647649972685</v>
      </c>
    </row>
    <row r="13" spans="2:6" x14ac:dyDescent="0.75">
      <c r="E13" s="62"/>
    </row>
  </sheetData>
  <mergeCells count="4">
    <mergeCell ref="C2:C3"/>
    <mergeCell ref="E2:E3"/>
    <mergeCell ref="B8:C8"/>
    <mergeCell ref="B2:B3"/>
  </mergeCells>
  <pageMargins left="0.75" right="0.75" top="1" bottom="1" header="0.5" footer="0.5"/>
  <pageSetup paperSize="9" orientation="landscape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648FB-C01A-45A7-BDEF-F19C44CE0096}">
  <sheetPr>
    <tabColor theme="9"/>
  </sheetPr>
  <dimension ref="B1:I37"/>
  <sheetViews>
    <sheetView rightToLeft="1" zoomScale="70" zoomScaleNormal="70" zoomScaleSheetLayoutView="115" workbookViewId="0">
      <selection activeCell="D20" sqref="D20"/>
    </sheetView>
  </sheetViews>
  <sheetFormatPr defaultColWidth="10.23046875" defaultRowHeight="15" x14ac:dyDescent="0.35"/>
  <cols>
    <col min="1" max="2" width="10.23046875" style="4"/>
    <col min="3" max="3" width="17.84375" style="4" bestFit="1" customWidth="1"/>
    <col min="4" max="4" width="21.765625" style="4" bestFit="1" customWidth="1"/>
    <col min="5" max="5" width="16.53515625" style="4" bestFit="1" customWidth="1"/>
    <col min="6" max="6" width="12.4609375" style="4" bestFit="1" customWidth="1"/>
    <col min="7" max="7" width="16.53515625" style="4" bestFit="1" customWidth="1"/>
    <col min="8" max="8" width="16.53515625" style="4" customWidth="1"/>
    <col min="9" max="9" width="13.765625" style="4" bestFit="1" customWidth="1"/>
    <col min="10" max="10" width="16" style="4" bestFit="1" customWidth="1"/>
    <col min="11" max="11" width="24.765625" style="4" customWidth="1"/>
    <col min="12" max="12" width="16.765625" style="4" bestFit="1" customWidth="1"/>
    <col min="13" max="13" width="10.23046875" style="4"/>
    <col min="14" max="14" width="22.23046875" style="4" bestFit="1" customWidth="1"/>
    <col min="15" max="257" width="10.23046875" style="4"/>
    <col min="258" max="258" width="18" style="4" customWidth="1"/>
    <col min="259" max="259" width="29" style="4" bestFit="1" customWidth="1"/>
    <col min="260" max="260" width="13.23046875" style="4" bestFit="1" customWidth="1"/>
    <col min="261" max="261" width="12.23046875" style="4" bestFit="1" customWidth="1"/>
    <col min="262" max="262" width="24.23046875" style="4" bestFit="1" customWidth="1"/>
    <col min="263" max="263" width="10.23046875" style="4"/>
    <col min="264" max="264" width="14" style="4" customWidth="1"/>
    <col min="265" max="265" width="12" style="4" bestFit="1" customWidth="1"/>
    <col min="266" max="266" width="11.53515625" style="4" bestFit="1" customWidth="1"/>
    <col min="267" max="267" width="25.765625" style="4" customWidth="1"/>
    <col min="268" max="513" width="10.23046875" style="4"/>
    <col min="514" max="514" width="18" style="4" customWidth="1"/>
    <col min="515" max="515" width="29" style="4" bestFit="1" customWidth="1"/>
    <col min="516" max="516" width="13.23046875" style="4" bestFit="1" customWidth="1"/>
    <col min="517" max="517" width="12.23046875" style="4" bestFit="1" customWidth="1"/>
    <col min="518" max="518" width="24.23046875" style="4" bestFit="1" customWidth="1"/>
    <col min="519" max="519" width="10.23046875" style="4"/>
    <col min="520" max="520" width="14" style="4" customWidth="1"/>
    <col min="521" max="521" width="12" style="4" bestFit="1" customWidth="1"/>
    <col min="522" max="522" width="11.53515625" style="4" bestFit="1" customWidth="1"/>
    <col min="523" max="523" width="25.765625" style="4" customWidth="1"/>
    <col min="524" max="769" width="10.23046875" style="4"/>
    <col min="770" max="770" width="18" style="4" customWidth="1"/>
    <col min="771" max="771" width="29" style="4" bestFit="1" customWidth="1"/>
    <col min="772" max="772" width="13.23046875" style="4" bestFit="1" customWidth="1"/>
    <col min="773" max="773" width="12.23046875" style="4" bestFit="1" customWidth="1"/>
    <col min="774" max="774" width="24.23046875" style="4" bestFit="1" customWidth="1"/>
    <col min="775" max="775" width="10.23046875" style="4"/>
    <col min="776" max="776" width="14" style="4" customWidth="1"/>
    <col min="777" max="777" width="12" style="4" bestFit="1" customWidth="1"/>
    <col min="778" max="778" width="11.53515625" style="4" bestFit="1" customWidth="1"/>
    <col min="779" max="779" width="25.765625" style="4" customWidth="1"/>
    <col min="780" max="1025" width="10.23046875" style="4"/>
    <col min="1026" max="1026" width="18" style="4" customWidth="1"/>
    <col min="1027" max="1027" width="29" style="4" bestFit="1" customWidth="1"/>
    <col min="1028" max="1028" width="13.23046875" style="4" bestFit="1" customWidth="1"/>
    <col min="1029" max="1029" width="12.23046875" style="4" bestFit="1" customWidth="1"/>
    <col min="1030" max="1030" width="24.23046875" style="4" bestFit="1" customWidth="1"/>
    <col min="1031" max="1031" width="10.23046875" style="4"/>
    <col min="1032" max="1032" width="14" style="4" customWidth="1"/>
    <col min="1033" max="1033" width="12" style="4" bestFit="1" customWidth="1"/>
    <col min="1034" max="1034" width="11.53515625" style="4" bestFit="1" customWidth="1"/>
    <col min="1035" max="1035" width="25.765625" style="4" customWidth="1"/>
    <col min="1036" max="1281" width="10.23046875" style="4"/>
    <col min="1282" max="1282" width="18" style="4" customWidth="1"/>
    <col min="1283" max="1283" width="29" style="4" bestFit="1" customWidth="1"/>
    <col min="1284" max="1284" width="13.23046875" style="4" bestFit="1" customWidth="1"/>
    <col min="1285" max="1285" width="12.23046875" style="4" bestFit="1" customWidth="1"/>
    <col min="1286" max="1286" width="24.23046875" style="4" bestFit="1" customWidth="1"/>
    <col min="1287" max="1287" width="10.23046875" style="4"/>
    <col min="1288" max="1288" width="14" style="4" customWidth="1"/>
    <col min="1289" max="1289" width="12" style="4" bestFit="1" customWidth="1"/>
    <col min="1290" max="1290" width="11.53515625" style="4" bestFit="1" customWidth="1"/>
    <col min="1291" max="1291" width="25.765625" style="4" customWidth="1"/>
    <col min="1292" max="1537" width="10.23046875" style="4"/>
    <col min="1538" max="1538" width="18" style="4" customWidth="1"/>
    <col min="1539" max="1539" width="29" style="4" bestFit="1" customWidth="1"/>
    <col min="1540" max="1540" width="13.23046875" style="4" bestFit="1" customWidth="1"/>
    <col min="1541" max="1541" width="12.23046875" style="4" bestFit="1" customWidth="1"/>
    <col min="1542" max="1542" width="24.23046875" style="4" bestFit="1" customWidth="1"/>
    <col min="1543" max="1543" width="10.23046875" style="4"/>
    <col min="1544" max="1544" width="14" style="4" customWidth="1"/>
    <col min="1545" max="1545" width="12" style="4" bestFit="1" customWidth="1"/>
    <col min="1546" max="1546" width="11.53515625" style="4" bestFit="1" customWidth="1"/>
    <col min="1547" max="1547" width="25.765625" style="4" customWidth="1"/>
    <col min="1548" max="1793" width="10.23046875" style="4"/>
    <col min="1794" max="1794" width="18" style="4" customWidth="1"/>
    <col min="1795" max="1795" width="29" style="4" bestFit="1" customWidth="1"/>
    <col min="1796" max="1796" width="13.23046875" style="4" bestFit="1" customWidth="1"/>
    <col min="1797" max="1797" width="12.23046875" style="4" bestFit="1" customWidth="1"/>
    <col min="1798" max="1798" width="24.23046875" style="4" bestFit="1" customWidth="1"/>
    <col min="1799" max="1799" width="10.23046875" style="4"/>
    <col min="1800" max="1800" width="14" style="4" customWidth="1"/>
    <col min="1801" max="1801" width="12" style="4" bestFit="1" customWidth="1"/>
    <col min="1802" max="1802" width="11.53515625" style="4" bestFit="1" customWidth="1"/>
    <col min="1803" max="1803" width="25.765625" style="4" customWidth="1"/>
    <col min="1804" max="2049" width="10.23046875" style="4"/>
    <col min="2050" max="2050" width="18" style="4" customWidth="1"/>
    <col min="2051" max="2051" width="29" style="4" bestFit="1" customWidth="1"/>
    <col min="2052" max="2052" width="13.23046875" style="4" bestFit="1" customWidth="1"/>
    <col min="2053" max="2053" width="12.23046875" style="4" bestFit="1" customWidth="1"/>
    <col min="2054" max="2054" width="24.23046875" style="4" bestFit="1" customWidth="1"/>
    <col min="2055" max="2055" width="10.23046875" style="4"/>
    <col min="2056" max="2056" width="14" style="4" customWidth="1"/>
    <col min="2057" max="2057" width="12" style="4" bestFit="1" customWidth="1"/>
    <col min="2058" max="2058" width="11.53515625" style="4" bestFit="1" customWidth="1"/>
    <col min="2059" max="2059" width="25.765625" style="4" customWidth="1"/>
    <col min="2060" max="2305" width="10.23046875" style="4"/>
    <col min="2306" max="2306" width="18" style="4" customWidth="1"/>
    <col min="2307" max="2307" width="29" style="4" bestFit="1" customWidth="1"/>
    <col min="2308" max="2308" width="13.23046875" style="4" bestFit="1" customWidth="1"/>
    <col min="2309" max="2309" width="12.23046875" style="4" bestFit="1" customWidth="1"/>
    <col min="2310" max="2310" width="24.23046875" style="4" bestFit="1" customWidth="1"/>
    <col min="2311" max="2311" width="10.23046875" style="4"/>
    <col min="2312" max="2312" width="14" style="4" customWidth="1"/>
    <col min="2313" max="2313" width="12" style="4" bestFit="1" customWidth="1"/>
    <col min="2314" max="2314" width="11.53515625" style="4" bestFit="1" customWidth="1"/>
    <col min="2315" max="2315" width="25.765625" style="4" customWidth="1"/>
    <col min="2316" max="2561" width="10.23046875" style="4"/>
    <col min="2562" max="2562" width="18" style="4" customWidth="1"/>
    <col min="2563" max="2563" width="29" style="4" bestFit="1" customWidth="1"/>
    <col min="2564" max="2564" width="13.23046875" style="4" bestFit="1" customWidth="1"/>
    <col min="2565" max="2565" width="12.23046875" style="4" bestFit="1" customWidth="1"/>
    <col min="2566" max="2566" width="24.23046875" style="4" bestFit="1" customWidth="1"/>
    <col min="2567" max="2567" width="10.23046875" style="4"/>
    <col min="2568" max="2568" width="14" style="4" customWidth="1"/>
    <col min="2569" max="2569" width="12" style="4" bestFit="1" customWidth="1"/>
    <col min="2570" max="2570" width="11.53515625" style="4" bestFit="1" customWidth="1"/>
    <col min="2571" max="2571" width="25.765625" style="4" customWidth="1"/>
    <col min="2572" max="2817" width="10.23046875" style="4"/>
    <col min="2818" max="2818" width="18" style="4" customWidth="1"/>
    <col min="2819" max="2819" width="29" style="4" bestFit="1" customWidth="1"/>
    <col min="2820" max="2820" width="13.23046875" style="4" bestFit="1" customWidth="1"/>
    <col min="2821" max="2821" width="12.23046875" style="4" bestFit="1" customWidth="1"/>
    <col min="2822" max="2822" width="24.23046875" style="4" bestFit="1" customWidth="1"/>
    <col min="2823" max="2823" width="10.23046875" style="4"/>
    <col min="2824" max="2824" width="14" style="4" customWidth="1"/>
    <col min="2825" max="2825" width="12" style="4" bestFit="1" customWidth="1"/>
    <col min="2826" max="2826" width="11.53515625" style="4" bestFit="1" customWidth="1"/>
    <col min="2827" max="2827" width="25.765625" style="4" customWidth="1"/>
    <col min="2828" max="3073" width="10.23046875" style="4"/>
    <col min="3074" max="3074" width="18" style="4" customWidth="1"/>
    <col min="3075" max="3075" width="29" style="4" bestFit="1" customWidth="1"/>
    <col min="3076" max="3076" width="13.23046875" style="4" bestFit="1" customWidth="1"/>
    <col min="3077" max="3077" width="12.23046875" style="4" bestFit="1" customWidth="1"/>
    <col min="3078" max="3078" width="24.23046875" style="4" bestFit="1" customWidth="1"/>
    <col min="3079" max="3079" width="10.23046875" style="4"/>
    <col min="3080" max="3080" width="14" style="4" customWidth="1"/>
    <col min="3081" max="3081" width="12" style="4" bestFit="1" customWidth="1"/>
    <col min="3082" max="3082" width="11.53515625" style="4" bestFit="1" customWidth="1"/>
    <col min="3083" max="3083" width="25.765625" style="4" customWidth="1"/>
    <col min="3084" max="3329" width="10.23046875" style="4"/>
    <col min="3330" max="3330" width="18" style="4" customWidth="1"/>
    <col min="3331" max="3331" width="29" style="4" bestFit="1" customWidth="1"/>
    <col min="3332" max="3332" width="13.23046875" style="4" bestFit="1" customWidth="1"/>
    <col min="3333" max="3333" width="12.23046875" style="4" bestFit="1" customWidth="1"/>
    <col min="3334" max="3334" width="24.23046875" style="4" bestFit="1" customWidth="1"/>
    <col min="3335" max="3335" width="10.23046875" style="4"/>
    <col min="3336" max="3336" width="14" style="4" customWidth="1"/>
    <col min="3337" max="3337" width="12" style="4" bestFit="1" customWidth="1"/>
    <col min="3338" max="3338" width="11.53515625" style="4" bestFit="1" customWidth="1"/>
    <col min="3339" max="3339" width="25.765625" style="4" customWidth="1"/>
    <col min="3340" max="3585" width="10.23046875" style="4"/>
    <col min="3586" max="3586" width="18" style="4" customWidth="1"/>
    <col min="3587" max="3587" width="29" style="4" bestFit="1" customWidth="1"/>
    <col min="3588" max="3588" width="13.23046875" style="4" bestFit="1" customWidth="1"/>
    <col min="3589" max="3589" width="12.23046875" style="4" bestFit="1" customWidth="1"/>
    <col min="3590" max="3590" width="24.23046875" style="4" bestFit="1" customWidth="1"/>
    <col min="3591" max="3591" width="10.23046875" style="4"/>
    <col min="3592" max="3592" width="14" style="4" customWidth="1"/>
    <col min="3593" max="3593" width="12" style="4" bestFit="1" customWidth="1"/>
    <col min="3594" max="3594" width="11.53515625" style="4" bestFit="1" customWidth="1"/>
    <col min="3595" max="3595" width="25.765625" style="4" customWidth="1"/>
    <col min="3596" max="3841" width="10.23046875" style="4"/>
    <col min="3842" max="3842" width="18" style="4" customWidth="1"/>
    <col min="3843" max="3843" width="29" style="4" bestFit="1" customWidth="1"/>
    <col min="3844" max="3844" width="13.23046875" style="4" bestFit="1" customWidth="1"/>
    <col min="3845" max="3845" width="12.23046875" style="4" bestFit="1" customWidth="1"/>
    <col min="3846" max="3846" width="24.23046875" style="4" bestFit="1" customWidth="1"/>
    <col min="3847" max="3847" width="10.23046875" style="4"/>
    <col min="3848" max="3848" width="14" style="4" customWidth="1"/>
    <col min="3849" max="3849" width="12" style="4" bestFit="1" customWidth="1"/>
    <col min="3850" max="3850" width="11.53515625" style="4" bestFit="1" customWidth="1"/>
    <col min="3851" max="3851" width="25.765625" style="4" customWidth="1"/>
    <col min="3852" max="4097" width="10.23046875" style="4"/>
    <col min="4098" max="4098" width="18" style="4" customWidth="1"/>
    <col min="4099" max="4099" width="29" style="4" bestFit="1" customWidth="1"/>
    <col min="4100" max="4100" width="13.23046875" style="4" bestFit="1" customWidth="1"/>
    <col min="4101" max="4101" width="12.23046875" style="4" bestFit="1" customWidth="1"/>
    <col min="4102" max="4102" width="24.23046875" style="4" bestFit="1" customWidth="1"/>
    <col min="4103" max="4103" width="10.23046875" style="4"/>
    <col min="4104" max="4104" width="14" style="4" customWidth="1"/>
    <col min="4105" max="4105" width="12" style="4" bestFit="1" customWidth="1"/>
    <col min="4106" max="4106" width="11.53515625" style="4" bestFit="1" customWidth="1"/>
    <col min="4107" max="4107" width="25.765625" style="4" customWidth="1"/>
    <col min="4108" max="4353" width="10.23046875" style="4"/>
    <col min="4354" max="4354" width="18" style="4" customWidth="1"/>
    <col min="4355" max="4355" width="29" style="4" bestFit="1" customWidth="1"/>
    <col min="4356" max="4356" width="13.23046875" style="4" bestFit="1" customWidth="1"/>
    <col min="4357" max="4357" width="12.23046875" style="4" bestFit="1" customWidth="1"/>
    <col min="4358" max="4358" width="24.23046875" style="4" bestFit="1" customWidth="1"/>
    <col min="4359" max="4359" width="10.23046875" style="4"/>
    <col min="4360" max="4360" width="14" style="4" customWidth="1"/>
    <col min="4361" max="4361" width="12" style="4" bestFit="1" customWidth="1"/>
    <col min="4362" max="4362" width="11.53515625" style="4" bestFit="1" customWidth="1"/>
    <col min="4363" max="4363" width="25.765625" style="4" customWidth="1"/>
    <col min="4364" max="4609" width="10.23046875" style="4"/>
    <col min="4610" max="4610" width="18" style="4" customWidth="1"/>
    <col min="4611" max="4611" width="29" style="4" bestFit="1" customWidth="1"/>
    <col min="4612" max="4612" width="13.23046875" style="4" bestFit="1" customWidth="1"/>
    <col min="4613" max="4613" width="12.23046875" style="4" bestFit="1" customWidth="1"/>
    <col min="4614" max="4614" width="24.23046875" style="4" bestFit="1" customWidth="1"/>
    <col min="4615" max="4615" width="10.23046875" style="4"/>
    <col min="4616" max="4616" width="14" style="4" customWidth="1"/>
    <col min="4617" max="4617" width="12" style="4" bestFit="1" customWidth="1"/>
    <col min="4618" max="4618" width="11.53515625" style="4" bestFit="1" customWidth="1"/>
    <col min="4619" max="4619" width="25.765625" style="4" customWidth="1"/>
    <col min="4620" max="4865" width="10.23046875" style="4"/>
    <col min="4866" max="4866" width="18" style="4" customWidth="1"/>
    <col min="4867" max="4867" width="29" style="4" bestFit="1" customWidth="1"/>
    <col min="4868" max="4868" width="13.23046875" style="4" bestFit="1" customWidth="1"/>
    <col min="4869" max="4869" width="12.23046875" style="4" bestFit="1" customWidth="1"/>
    <col min="4870" max="4870" width="24.23046875" style="4" bestFit="1" customWidth="1"/>
    <col min="4871" max="4871" width="10.23046875" style="4"/>
    <col min="4872" max="4872" width="14" style="4" customWidth="1"/>
    <col min="4873" max="4873" width="12" style="4" bestFit="1" customWidth="1"/>
    <col min="4874" max="4874" width="11.53515625" style="4" bestFit="1" customWidth="1"/>
    <col min="4875" max="4875" width="25.765625" style="4" customWidth="1"/>
    <col min="4876" max="5121" width="10.23046875" style="4"/>
    <col min="5122" max="5122" width="18" style="4" customWidth="1"/>
    <col min="5123" max="5123" width="29" style="4" bestFit="1" customWidth="1"/>
    <col min="5124" max="5124" width="13.23046875" style="4" bestFit="1" customWidth="1"/>
    <col min="5125" max="5125" width="12.23046875" style="4" bestFit="1" customWidth="1"/>
    <col min="5126" max="5126" width="24.23046875" style="4" bestFit="1" customWidth="1"/>
    <col min="5127" max="5127" width="10.23046875" style="4"/>
    <col min="5128" max="5128" width="14" style="4" customWidth="1"/>
    <col min="5129" max="5129" width="12" style="4" bestFit="1" customWidth="1"/>
    <col min="5130" max="5130" width="11.53515625" style="4" bestFit="1" customWidth="1"/>
    <col min="5131" max="5131" width="25.765625" style="4" customWidth="1"/>
    <col min="5132" max="5377" width="10.23046875" style="4"/>
    <col min="5378" max="5378" width="18" style="4" customWidth="1"/>
    <col min="5379" max="5379" width="29" style="4" bestFit="1" customWidth="1"/>
    <col min="5380" max="5380" width="13.23046875" style="4" bestFit="1" customWidth="1"/>
    <col min="5381" max="5381" width="12.23046875" style="4" bestFit="1" customWidth="1"/>
    <col min="5382" max="5382" width="24.23046875" style="4" bestFit="1" customWidth="1"/>
    <col min="5383" max="5383" width="10.23046875" style="4"/>
    <col min="5384" max="5384" width="14" style="4" customWidth="1"/>
    <col min="5385" max="5385" width="12" style="4" bestFit="1" customWidth="1"/>
    <col min="5386" max="5386" width="11.53515625" style="4" bestFit="1" customWidth="1"/>
    <col min="5387" max="5387" width="25.765625" style="4" customWidth="1"/>
    <col min="5388" max="5633" width="10.23046875" style="4"/>
    <col min="5634" max="5634" width="18" style="4" customWidth="1"/>
    <col min="5635" max="5635" width="29" style="4" bestFit="1" customWidth="1"/>
    <col min="5636" max="5636" width="13.23046875" style="4" bestFit="1" customWidth="1"/>
    <col min="5637" max="5637" width="12.23046875" style="4" bestFit="1" customWidth="1"/>
    <col min="5638" max="5638" width="24.23046875" style="4" bestFit="1" customWidth="1"/>
    <col min="5639" max="5639" width="10.23046875" style="4"/>
    <col min="5640" max="5640" width="14" style="4" customWidth="1"/>
    <col min="5641" max="5641" width="12" style="4" bestFit="1" customWidth="1"/>
    <col min="5642" max="5642" width="11.53515625" style="4" bestFit="1" customWidth="1"/>
    <col min="5643" max="5643" width="25.765625" style="4" customWidth="1"/>
    <col min="5644" max="5889" width="10.23046875" style="4"/>
    <col min="5890" max="5890" width="18" style="4" customWidth="1"/>
    <col min="5891" max="5891" width="29" style="4" bestFit="1" customWidth="1"/>
    <col min="5892" max="5892" width="13.23046875" style="4" bestFit="1" customWidth="1"/>
    <col min="5893" max="5893" width="12.23046875" style="4" bestFit="1" customWidth="1"/>
    <col min="5894" max="5894" width="24.23046875" style="4" bestFit="1" customWidth="1"/>
    <col min="5895" max="5895" width="10.23046875" style="4"/>
    <col min="5896" max="5896" width="14" style="4" customWidth="1"/>
    <col min="5897" max="5897" width="12" style="4" bestFit="1" customWidth="1"/>
    <col min="5898" max="5898" width="11.53515625" style="4" bestFit="1" customWidth="1"/>
    <col min="5899" max="5899" width="25.765625" style="4" customWidth="1"/>
    <col min="5900" max="6145" width="10.23046875" style="4"/>
    <col min="6146" max="6146" width="18" style="4" customWidth="1"/>
    <col min="6147" max="6147" width="29" style="4" bestFit="1" customWidth="1"/>
    <col min="6148" max="6148" width="13.23046875" style="4" bestFit="1" customWidth="1"/>
    <col min="6149" max="6149" width="12.23046875" style="4" bestFit="1" customWidth="1"/>
    <col min="6150" max="6150" width="24.23046875" style="4" bestFit="1" customWidth="1"/>
    <col min="6151" max="6151" width="10.23046875" style="4"/>
    <col min="6152" max="6152" width="14" style="4" customWidth="1"/>
    <col min="6153" max="6153" width="12" style="4" bestFit="1" customWidth="1"/>
    <col min="6154" max="6154" width="11.53515625" style="4" bestFit="1" customWidth="1"/>
    <col min="6155" max="6155" width="25.765625" style="4" customWidth="1"/>
    <col min="6156" max="6401" width="10.23046875" style="4"/>
    <col min="6402" max="6402" width="18" style="4" customWidth="1"/>
    <col min="6403" max="6403" width="29" style="4" bestFit="1" customWidth="1"/>
    <col min="6404" max="6404" width="13.23046875" style="4" bestFit="1" customWidth="1"/>
    <col min="6405" max="6405" width="12.23046875" style="4" bestFit="1" customWidth="1"/>
    <col min="6406" max="6406" width="24.23046875" style="4" bestFit="1" customWidth="1"/>
    <col min="6407" max="6407" width="10.23046875" style="4"/>
    <col min="6408" max="6408" width="14" style="4" customWidth="1"/>
    <col min="6409" max="6409" width="12" style="4" bestFit="1" customWidth="1"/>
    <col min="6410" max="6410" width="11.53515625" style="4" bestFit="1" customWidth="1"/>
    <col min="6411" max="6411" width="25.765625" style="4" customWidth="1"/>
    <col min="6412" max="6657" width="10.23046875" style="4"/>
    <col min="6658" max="6658" width="18" style="4" customWidth="1"/>
    <col min="6659" max="6659" width="29" style="4" bestFit="1" customWidth="1"/>
    <col min="6660" max="6660" width="13.23046875" style="4" bestFit="1" customWidth="1"/>
    <col min="6661" max="6661" width="12.23046875" style="4" bestFit="1" customWidth="1"/>
    <col min="6662" max="6662" width="24.23046875" style="4" bestFit="1" customWidth="1"/>
    <col min="6663" max="6663" width="10.23046875" style="4"/>
    <col min="6664" max="6664" width="14" style="4" customWidth="1"/>
    <col min="6665" max="6665" width="12" style="4" bestFit="1" customWidth="1"/>
    <col min="6666" max="6666" width="11.53515625" style="4" bestFit="1" customWidth="1"/>
    <col min="6667" max="6667" width="25.765625" style="4" customWidth="1"/>
    <col min="6668" max="6913" width="10.23046875" style="4"/>
    <col min="6914" max="6914" width="18" style="4" customWidth="1"/>
    <col min="6915" max="6915" width="29" style="4" bestFit="1" customWidth="1"/>
    <col min="6916" max="6916" width="13.23046875" style="4" bestFit="1" customWidth="1"/>
    <col min="6917" max="6917" width="12.23046875" style="4" bestFit="1" customWidth="1"/>
    <col min="6918" max="6918" width="24.23046875" style="4" bestFit="1" customWidth="1"/>
    <col min="6919" max="6919" width="10.23046875" style="4"/>
    <col min="6920" max="6920" width="14" style="4" customWidth="1"/>
    <col min="6921" max="6921" width="12" style="4" bestFit="1" customWidth="1"/>
    <col min="6922" max="6922" width="11.53515625" style="4" bestFit="1" customWidth="1"/>
    <col min="6923" max="6923" width="25.765625" style="4" customWidth="1"/>
    <col min="6924" max="7169" width="10.23046875" style="4"/>
    <col min="7170" max="7170" width="18" style="4" customWidth="1"/>
    <col min="7171" max="7171" width="29" style="4" bestFit="1" customWidth="1"/>
    <col min="7172" max="7172" width="13.23046875" style="4" bestFit="1" customWidth="1"/>
    <col min="7173" max="7173" width="12.23046875" style="4" bestFit="1" customWidth="1"/>
    <col min="7174" max="7174" width="24.23046875" style="4" bestFit="1" customWidth="1"/>
    <col min="7175" max="7175" width="10.23046875" style="4"/>
    <col min="7176" max="7176" width="14" style="4" customWidth="1"/>
    <col min="7177" max="7177" width="12" style="4" bestFit="1" customWidth="1"/>
    <col min="7178" max="7178" width="11.53515625" style="4" bestFit="1" customWidth="1"/>
    <col min="7179" max="7179" width="25.765625" style="4" customWidth="1"/>
    <col min="7180" max="7425" width="10.23046875" style="4"/>
    <col min="7426" max="7426" width="18" style="4" customWidth="1"/>
    <col min="7427" max="7427" width="29" style="4" bestFit="1" customWidth="1"/>
    <col min="7428" max="7428" width="13.23046875" style="4" bestFit="1" customWidth="1"/>
    <col min="7429" max="7429" width="12.23046875" style="4" bestFit="1" customWidth="1"/>
    <col min="7430" max="7430" width="24.23046875" style="4" bestFit="1" customWidth="1"/>
    <col min="7431" max="7431" width="10.23046875" style="4"/>
    <col min="7432" max="7432" width="14" style="4" customWidth="1"/>
    <col min="7433" max="7433" width="12" style="4" bestFit="1" customWidth="1"/>
    <col min="7434" max="7434" width="11.53515625" style="4" bestFit="1" customWidth="1"/>
    <col min="7435" max="7435" width="25.765625" style="4" customWidth="1"/>
    <col min="7436" max="7681" width="10.23046875" style="4"/>
    <col min="7682" max="7682" width="18" style="4" customWidth="1"/>
    <col min="7683" max="7683" width="29" style="4" bestFit="1" customWidth="1"/>
    <col min="7684" max="7684" width="13.23046875" style="4" bestFit="1" customWidth="1"/>
    <col min="7685" max="7685" width="12.23046875" style="4" bestFit="1" customWidth="1"/>
    <col min="7686" max="7686" width="24.23046875" style="4" bestFit="1" customWidth="1"/>
    <col min="7687" max="7687" width="10.23046875" style="4"/>
    <col min="7688" max="7688" width="14" style="4" customWidth="1"/>
    <col min="7689" max="7689" width="12" style="4" bestFit="1" customWidth="1"/>
    <col min="7690" max="7690" width="11.53515625" style="4" bestFit="1" customWidth="1"/>
    <col min="7691" max="7691" width="25.765625" style="4" customWidth="1"/>
    <col min="7692" max="7937" width="10.23046875" style="4"/>
    <col min="7938" max="7938" width="18" style="4" customWidth="1"/>
    <col min="7939" max="7939" width="29" style="4" bestFit="1" customWidth="1"/>
    <col min="7940" max="7940" width="13.23046875" style="4" bestFit="1" customWidth="1"/>
    <col min="7941" max="7941" width="12.23046875" style="4" bestFit="1" customWidth="1"/>
    <col min="7942" max="7942" width="24.23046875" style="4" bestFit="1" customWidth="1"/>
    <col min="7943" max="7943" width="10.23046875" style="4"/>
    <col min="7944" max="7944" width="14" style="4" customWidth="1"/>
    <col min="7945" max="7945" width="12" style="4" bestFit="1" customWidth="1"/>
    <col min="7946" max="7946" width="11.53515625" style="4" bestFit="1" customWidth="1"/>
    <col min="7947" max="7947" width="25.765625" style="4" customWidth="1"/>
    <col min="7948" max="8193" width="10.23046875" style="4"/>
    <col min="8194" max="8194" width="18" style="4" customWidth="1"/>
    <col min="8195" max="8195" width="29" style="4" bestFit="1" customWidth="1"/>
    <col min="8196" max="8196" width="13.23046875" style="4" bestFit="1" customWidth="1"/>
    <col min="8197" max="8197" width="12.23046875" style="4" bestFit="1" customWidth="1"/>
    <col min="8198" max="8198" width="24.23046875" style="4" bestFit="1" customWidth="1"/>
    <col min="8199" max="8199" width="10.23046875" style="4"/>
    <col min="8200" max="8200" width="14" style="4" customWidth="1"/>
    <col min="8201" max="8201" width="12" style="4" bestFit="1" customWidth="1"/>
    <col min="8202" max="8202" width="11.53515625" style="4" bestFit="1" customWidth="1"/>
    <col min="8203" max="8203" width="25.765625" style="4" customWidth="1"/>
    <col min="8204" max="8449" width="10.23046875" style="4"/>
    <col min="8450" max="8450" width="18" style="4" customWidth="1"/>
    <col min="8451" max="8451" width="29" style="4" bestFit="1" customWidth="1"/>
    <col min="8452" max="8452" width="13.23046875" style="4" bestFit="1" customWidth="1"/>
    <col min="8453" max="8453" width="12.23046875" style="4" bestFit="1" customWidth="1"/>
    <col min="8454" max="8454" width="24.23046875" style="4" bestFit="1" customWidth="1"/>
    <col min="8455" max="8455" width="10.23046875" style="4"/>
    <col min="8456" max="8456" width="14" style="4" customWidth="1"/>
    <col min="8457" max="8457" width="12" style="4" bestFit="1" customWidth="1"/>
    <col min="8458" max="8458" width="11.53515625" style="4" bestFit="1" customWidth="1"/>
    <col min="8459" max="8459" width="25.765625" style="4" customWidth="1"/>
    <col min="8460" max="8705" width="10.23046875" style="4"/>
    <col min="8706" max="8706" width="18" style="4" customWidth="1"/>
    <col min="8707" max="8707" width="29" style="4" bestFit="1" customWidth="1"/>
    <col min="8708" max="8708" width="13.23046875" style="4" bestFit="1" customWidth="1"/>
    <col min="8709" max="8709" width="12.23046875" style="4" bestFit="1" customWidth="1"/>
    <col min="8710" max="8710" width="24.23046875" style="4" bestFit="1" customWidth="1"/>
    <col min="8711" max="8711" width="10.23046875" style="4"/>
    <col min="8712" max="8712" width="14" style="4" customWidth="1"/>
    <col min="8713" max="8713" width="12" style="4" bestFit="1" customWidth="1"/>
    <col min="8714" max="8714" width="11.53515625" style="4" bestFit="1" customWidth="1"/>
    <col min="8715" max="8715" width="25.765625" style="4" customWidth="1"/>
    <col min="8716" max="8961" width="10.23046875" style="4"/>
    <col min="8962" max="8962" width="18" style="4" customWidth="1"/>
    <col min="8963" max="8963" width="29" style="4" bestFit="1" customWidth="1"/>
    <col min="8964" max="8964" width="13.23046875" style="4" bestFit="1" customWidth="1"/>
    <col min="8965" max="8965" width="12.23046875" style="4" bestFit="1" customWidth="1"/>
    <col min="8966" max="8966" width="24.23046875" style="4" bestFit="1" customWidth="1"/>
    <col min="8967" max="8967" width="10.23046875" style="4"/>
    <col min="8968" max="8968" width="14" style="4" customWidth="1"/>
    <col min="8969" max="8969" width="12" style="4" bestFit="1" customWidth="1"/>
    <col min="8970" max="8970" width="11.53515625" style="4" bestFit="1" customWidth="1"/>
    <col min="8971" max="8971" width="25.765625" style="4" customWidth="1"/>
    <col min="8972" max="9217" width="10.23046875" style="4"/>
    <col min="9218" max="9218" width="18" style="4" customWidth="1"/>
    <col min="9219" max="9219" width="29" style="4" bestFit="1" customWidth="1"/>
    <col min="9220" max="9220" width="13.23046875" style="4" bestFit="1" customWidth="1"/>
    <col min="9221" max="9221" width="12.23046875" style="4" bestFit="1" customWidth="1"/>
    <col min="9222" max="9222" width="24.23046875" style="4" bestFit="1" customWidth="1"/>
    <col min="9223" max="9223" width="10.23046875" style="4"/>
    <col min="9224" max="9224" width="14" style="4" customWidth="1"/>
    <col min="9225" max="9225" width="12" style="4" bestFit="1" customWidth="1"/>
    <col min="9226" max="9226" width="11.53515625" style="4" bestFit="1" customWidth="1"/>
    <col min="9227" max="9227" width="25.765625" style="4" customWidth="1"/>
    <col min="9228" max="9473" width="10.23046875" style="4"/>
    <col min="9474" max="9474" width="18" style="4" customWidth="1"/>
    <col min="9475" max="9475" width="29" style="4" bestFit="1" customWidth="1"/>
    <col min="9476" max="9476" width="13.23046875" style="4" bestFit="1" customWidth="1"/>
    <col min="9477" max="9477" width="12.23046875" style="4" bestFit="1" customWidth="1"/>
    <col min="9478" max="9478" width="24.23046875" style="4" bestFit="1" customWidth="1"/>
    <col min="9479" max="9479" width="10.23046875" style="4"/>
    <col min="9480" max="9480" width="14" style="4" customWidth="1"/>
    <col min="9481" max="9481" width="12" style="4" bestFit="1" customWidth="1"/>
    <col min="9482" max="9482" width="11.53515625" style="4" bestFit="1" customWidth="1"/>
    <col min="9483" max="9483" width="25.765625" style="4" customWidth="1"/>
    <col min="9484" max="9729" width="10.23046875" style="4"/>
    <col min="9730" max="9730" width="18" style="4" customWidth="1"/>
    <col min="9731" max="9731" width="29" style="4" bestFit="1" customWidth="1"/>
    <col min="9732" max="9732" width="13.23046875" style="4" bestFit="1" customWidth="1"/>
    <col min="9733" max="9733" width="12.23046875" style="4" bestFit="1" customWidth="1"/>
    <col min="9734" max="9734" width="24.23046875" style="4" bestFit="1" customWidth="1"/>
    <col min="9735" max="9735" width="10.23046875" style="4"/>
    <col min="9736" max="9736" width="14" style="4" customWidth="1"/>
    <col min="9737" max="9737" width="12" style="4" bestFit="1" customWidth="1"/>
    <col min="9738" max="9738" width="11.53515625" style="4" bestFit="1" customWidth="1"/>
    <col min="9739" max="9739" width="25.765625" style="4" customWidth="1"/>
    <col min="9740" max="9985" width="10.23046875" style="4"/>
    <col min="9986" max="9986" width="18" style="4" customWidth="1"/>
    <col min="9987" max="9987" width="29" style="4" bestFit="1" customWidth="1"/>
    <col min="9988" max="9988" width="13.23046875" style="4" bestFit="1" customWidth="1"/>
    <col min="9989" max="9989" width="12.23046875" style="4" bestFit="1" customWidth="1"/>
    <col min="9990" max="9990" width="24.23046875" style="4" bestFit="1" customWidth="1"/>
    <col min="9991" max="9991" width="10.23046875" style="4"/>
    <col min="9992" max="9992" width="14" style="4" customWidth="1"/>
    <col min="9993" max="9993" width="12" style="4" bestFit="1" customWidth="1"/>
    <col min="9994" max="9994" width="11.53515625" style="4" bestFit="1" customWidth="1"/>
    <col min="9995" max="9995" width="25.765625" style="4" customWidth="1"/>
    <col min="9996" max="10241" width="10.23046875" style="4"/>
    <col min="10242" max="10242" width="18" style="4" customWidth="1"/>
    <col min="10243" max="10243" width="29" style="4" bestFit="1" customWidth="1"/>
    <col min="10244" max="10244" width="13.23046875" style="4" bestFit="1" customWidth="1"/>
    <col min="10245" max="10245" width="12.23046875" style="4" bestFit="1" customWidth="1"/>
    <col min="10246" max="10246" width="24.23046875" style="4" bestFit="1" customWidth="1"/>
    <col min="10247" max="10247" width="10.23046875" style="4"/>
    <col min="10248" max="10248" width="14" style="4" customWidth="1"/>
    <col min="10249" max="10249" width="12" style="4" bestFit="1" customWidth="1"/>
    <col min="10250" max="10250" width="11.53515625" style="4" bestFit="1" customWidth="1"/>
    <col min="10251" max="10251" width="25.765625" style="4" customWidth="1"/>
    <col min="10252" max="10497" width="10.23046875" style="4"/>
    <col min="10498" max="10498" width="18" style="4" customWidth="1"/>
    <col min="10499" max="10499" width="29" style="4" bestFit="1" customWidth="1"/>
    <col min="10500" max="10500" width="13.23046875" style="4" bestFit="1" customWidth="1"/>
    <col min="10501" max="10501" width="12.23046875" style="4" bestFit="1" customWidth="1"/>
    <col min="10502" max="10502" width="24.23046875" style="4" bestFit="1" customWidth="1"/>
    <col min="10503" max="10503" width="10.23046875" style="4"/>
    <col min="10504" max="10504" width="14" style="4" customWidth="1"/>
    <col min="10505" max="10505" width="12" style="4" bestFit="1" customWidth="1"/>
    <col min="10506" max="10506" width="11.53515625" style="4" bestFit="1" customWidth="1"/>
    <col min="10507" max="10507" width="25.765625" style="4" customWidth="1"/>
    <col min="10508" max="10753" width="10.23046875" style="4"/>
    <col min="10754" max="10754" width="18" style="4" customWidth="1"/>
    <col min="10755" max="10755" width="29" style="4" bestFit="1" customWidth="1"/>
    <col min="10756" max="10756" width="13.23046875" style="4" bestFit="1" customWidth="1"/>
    <col min="10757" max="10757" width="12.23046875" style="4" bestFit="1" customWidth="1"/>
    <col min="10758" max="10758" width="24.23046875" style="4" bestFit="1" customWidth="1"/>
    <col min="10759" max="10759" width="10.23046875" style="4"/>
    <col min="10760" max="10760" width="14" style="4" customWidth="1"/>
    <col min="10761" max="10761" width="12" style="4" bestFit="1" customWidth="1"/>
    <col min="10762" max="10762" width="11.53515625" style="4" bestFit="1" customWidth="1"/>
    <col min="10763" max="10763" width="25.765625" style="4" customWidth="1"/>
    <col min="10764" max="11009" width="10.23046875" style="4"/>
    <col min="11010" max="11010" width="18" style="4" customWidth="1"/>
    <col min="11011" max="11011" width="29" style="4" bestFit="1" customWidth="1"/>
    <col min="11012" max="11012" width="13.23046875" style="4" bestFit="1" customWidth="1"/>
    <col min="11013" max="11013" width="12.23046875" style="4" bestFit="1" customWidth="1"/>
    <col min="11014" max="11014" width="24.23046875" style="4" bestFit="1" customWidth="1"/>
    <col min="11015" max="11015" width="10.23046875" style="4"/>
    <col min="11016" max="11016" width="14" style="4" customWidth="1"/>
    <col min="11017" max="11017" width="12" style="4" bestFit="1" customWidth="1"/>
    <col min="11018" max="11018" width="11.53515625" style="4" bestFit="1" customWidth="1"/>
    <col min="11019" max="11019" width="25.765625" style="4" customWidth="1"/>
    <col min="11020" max="11265" width="10.23046875" style="4"/>
    <col min="11266" max="11266" width="18" style="4" customWidth="1"/>
    <col min="11267" max="11267" width="29" style="4" bestFit="1" customWidth="1"/>
    <col min="11268" max="11268" width="13.23046875" style="4" bestFit="1" customWidth="1"/>
    <col min="11269" max="11269" width="12.23046875" style="4" bestFit="1" customWidth="1"/>
    <col min="11270" max="11270" width="24.23046875" style="4" bestFit="1" customWidth="1"/>
    <col min="11271" max="11271" width="10.23046875" style="4"/>
    <col min="11272" max="11272" width="14" style="4" customWidth="1"/>
    <col min="11273" max="11273" width="12" style="4" bestFit="1" customWidth="1"/>
    <col min="11274" max="11274" width="11.53515625" style="4" bestFit="1" customWidth="1"/>
    <col min="11275" max="11275" width="25.765625" style="4" customWidth="1"/>
    <col min="11276" max="11521" width="10.23046875" style="4"/>
    <col min="11522" max="11522" width="18" style="4" customWidth="1"/>
    <col min="11523" max="11523" width="29" style="4" bestFit="1" customWidth="1"/>
    <col min="11524" max="11524" width="13.23046875" style="4" bestFit="1" customWidth="1"/>
    <col min="11525" max="11525" width="12.23046875" style="4" bestFit="1" customWidth="1"/>
    <col min="11526" max="11526" width="24.23046875" style="4" bestFit="1" customWidth="1"/>
    <col min="11527" max="11527" width="10.23046875" style="4"/>
    <col min="11528" max="11528" width="14" style="4" customWidth="1"/>
    <col min="11529" max="11529" width="12" style="4" bestFit="1" customWidth="1"/>
    <col min="11530" max="11530" width="11.53515625" style="4" bestFit="1" customWidth="1"/>
    <col min="11531" max="11531" width="25.765625" style="4" customWidth="1"/>
    <col min="11532" max="11777" width="10.23046875" style="4"/>
    <col min="11778" max="11778" width="18" style="4" customWidth="1"/>
    <col min="11779" max="11779" width="29" style="4" bestFit="1" customWidth="1"/>
    <col min="11780" max="11780" width="13.23046875" style="4" bestFit="1" customWidth="1"/>
    <col min="11781" max="11781" width="12.23046875" style="4" bestFit="1" customWidth="1"/>
    <col min="11782" max="11782" width="24.23046875" style="4" bestFit="1" customWidth="1"/>
    <col min="11783" max="11783" width="10.23046875" style="4"/>
    <col min="11784" max="11784" width="14" style="4" customWidth="1"/>
    <col min="11785" max="11785" width="12" style="4" bestFit="1" customWidth="1"/>
    <col min="11786" max="11786" width="11.53515625" style="4" bestFit="1" customWidth="1"/>
    <col min="11787" max="11787" width="25.765625" style="4" customWidth="1"/>
    <col min="11788" max="12033" width="10.23046875" style="4"/>
    <col min="12034" max="12034" width="18" style="4" customWidth="1"/>
    <col min="12035" max="12035" width="29" style="4" bestFit="1" customWidth="1"/>
    <col min="12036" max="12036" width="13.23046875" style="4" bestFit="1" customWidth="1"/>
    <col min="12037" max="12037" width="12.23046875" style="4" bestFit="1" customWidth="1"/>
    <col min="12038" max="12038" width="24.23046875" style="4" bestFit="1" customWidth="1"/>
    <col min="12039" max="12039" width="10.23046875" style="4"/>
    <col min="12040" max="12040" width="14" style="4" customWidth="1"/>
    <col min="12041" max="12041" width="12" style="4" bestFit="1" customWidth="1"/>
    <col min="12042" max="12042" width="11.53515625" style="4" bestFit="1" customWidth="1"/>
    <col min="12043" max="12043" width="25.765625" style="4" customWidth="1"/>
    <col min="12044" max="12289" width="10.23046875" style="4"/>
    <col min="12290" max="12290" width="18" style="4" customWidth="1"/>
    <col min="12291" max="12291" width="29" style="4" bestFit="1" customWidth="1"/>
    <col min="12292" max="12292" width="13.23046875" style="4" bestFit="1" customWidth="1"/>
    <col min="12293" max="12293" width="12.23046875" style="4" bestFit="1" customWidth="1"/>
    <col min="12294" max="12294" width="24.23046875" style="4" bestFit="1" customWidth="1"/>
    <col min="12295" max="12295" width="10.23046875" style="4"/>
    <col min="12296" max="12296" width="14" style="4" customWidth="1"/>
    <col min="12297" max="12297" width="12" style="4" bestFit="1" customWidth="1"/>
    <col min="12298" max="12298" width="11.53515625" style="4" bestFit="1" customWidth="1"/>
    <col min="12299" max="12299" width="25.765625" style="4" customWidth="1"/>
    <col min="12300" max="12545" width="10.23046875" style="4"/>
    <col min="12546" max="12546" width="18" style="4" customWidth="1"/>
    <col min="12547" max="12547" width="29" style="4" bestFit="1" customWidth="1"/>
    <col min="12548" max="12548" width="13.23046875" style="4" bestFit="1" customWidth="1"/>
    <col min="12549" max="12549" width="12.23046875" style="4" bestFit="1" customWidth="1"/>
    <col min="12550" max="12550" width="24.23046875" style="4" bestFit="1" customWidth="1"/>
    <col min="12551" max="12551" width="10.23046875" style="4"/>
    <col min="12552" max="12552" width="14" style="4" customWidth="1"/>
    <col min="12553" max="12553" width="12" style="4" bestFit="1" customWidth="1"/>
    <col min="12554" max="12554" width="11.53515625" style="4" bestFit="1" customWidth="1"/>
    <col min="12555" max="12555" width="25.765625" style="4" customWidth="1"/>
    <col min="12556" max="12801" width="10.23046875" style="4"/>
    <col min="12802" max="12802" width="18" style="4" customWidth="1"/>
    <col min="12803" max="12803" width="29" style="4" bestFit="1" customWidth="1"/>
    <col min="12804" max="12804" width="13.23046875" style="4" bestFit="1" customWidth="1"/>
    <col min="12805" max="12805" width="12.23046875" style="4" bestFit="1" customWidth="1"/>
    <col min="12806" max="12806" width="24.23046875" style="4" bestFit="1" customWidth="1"/>
    <col min="12807" max="12807" width="10.23046875" style="4"/>
    <col min="12808" max="12808" width="14" style="4" customWidth="1"/>
    <col min="12809" max="12809" width="12" style="4" bestFit="1" customWidth="1"/>
    <col min="12810" max="12810" width="11.53515625" style="4" bestFit="1" customWidth="1"/>
    <col min="12811" max="12811" width="25.765625" style="4" customWidth="1"/>
    <col min="12812" max="13057" width="10.23046875" style="4"/>
    <col min="13058" max="13058" width="18" style="4" customWidth="1"/>
    <col min="13059" max="13059" width="29" style="4" bestFit="1" customWidth="1"/>
    <col min="13060" max="13060" width="13.23046875" style="4" bestFit="1" customWidth="1"/>
    <col min="13061" max="13061" width="12.23046875" style="4" bestFit="1" customWidth="1"/>
    <col min="13062" max="13062" width="24.23046875" style="4" bestFit="1" customWidth="1"/>
    <col min="13063" max="13063" width="10.23046875" style="4"/>
    <col min="13064" max="13064" width="14" style="4" customWidth="1"/>
    <col min="13065" max="13065" width="12" style="4" bestFit="1" customWidth="1"/>
    <col min="13066" max="13066" width="11.53515625" style="4" bestFit="1" customWidth="1"/>
    <col min="13067" max="13067" width="25.765625" style="4" customWidth="1"/>
    <col min="13068" max="13313" width="10.23046875" style="4"/>
    <col min="13314" max="13314" width="18" style="4" customWidth="1"/>
    <col min="13315" max="13315" width="29" style="4" bestFit="1" customWidth="1"/>
    <col min="13316" max="13316" width="13.23046875" style="4" bestFit="1" customWidth="1"/>
    <col min="13317" max="13317" width="12.23046875" style="4" bestFit="1" customWidth="1"/>
    <col min="13318" max="13318" width="24.23046875" style="4" bestFit="1" customWidth="1"/>
    <col min="13319" max="13319" width="10.23046875" style="4"/>
    <col min="13320" max="13320" width="14" style="4" customWidth="1"/>
    <col min="13321" max="13321" width="12" style="4" bestFit="1" customWidth="1"/>
    <col min="13322" max="13322" width="11.53515625" style="4" bestFit="1" customWidth="1"/>
    <col min="13323" max="13323" width="25.765625" style="4" customWidth="1"/>
    <col min="13324" max="13569" width="10.23046875" style="4"/>
    <col min="13570" max="13570" width="18" style="4" customWidth="1"/>
    <col min="13571" max="13571" width="29" style="4" bestFit="1" customWidth="1"/>
    <col min="13572" max="13572" width="13.23046875" style="4" bestFit="1" customWidth="1"/>
    <col min="13573" max="13573" width="12.23046875" style="4" bestFit="1" customWidth="1"/>
    <col min="13574" max="13574" width="24.23046875" style="4" bestFit="1" customWidth="1"/>
    <col min="13575" max="13575" width="10.23046875" style="4"/>
    <col min="13576" max="13576" width="14" style="4" customWidth="1"/>
    <col min="13577" max="13577" width="12" style="4" bestFit="1" customWidth="1"/>
    <col min="13578" max="13578" width="11.53515625" style="4" bestFit="1" customWidth="1"/>
    <col min="13579" max="13579" width="25.765625" style="4" customWidth="1"/>
    <col min="13580" max="13825" width="10.23046875" style="4"/>
    <col min="13826" max="13826" width="18" style="4" customWidth="1"/>
    <col min="13827" max="13827" width="29" style="4" bestFit="1" customWidth="1"/>
    <col min="13828" max="13828" width="13.23046875" style="4" bestFit="1" customWidth="1"/>
    <col min="13829" max="13829" width="12.23046875" style="4" bestFit="1" customWidth="1"/>
    <col min="13830" max="13830" width="24.23046875" style="4" bestFit="1" customWidth="1"/>
    <col min="13831" max="13831" width="10.23046875" style="4"/>
    <col min="13832" max="13832" width="14" style="4" customWidth="1"/>
    <col min="13833" max="13833" width="12" style="4" bestFit="1" customWidth="1"/>
    <col min="13834" max="13834" width="11.53515625" style="4" bestFit="1" customWidth="1"/>
    <col min="13835" max="13835" width="25.765625" style="4" customWidth="1"/>
    <col min="13836" max="14081" width="10.23046875" style="4"/>
    <col min="14082" max="14082" width="18" style="4" customWidth="1"/>
    <col min="14083" max="14083" width="29" style="4" bestFit="1" customWidth="1"/>
    <col min="14084" max="14084" width="13.23046875" style="4" bestFit="1" customWidth="1"/>
    <col min="14085" max="14085" width="12.23046875" style="4" bestFit="1" customWidth="1"/>
    <col min="14086" max="14086" width="24.23046875" style="4" bestFit="1" customWidth="1"/>
    <col min="14087" max="14087" width="10.23046875" style="4"/>
    <col min="14088" max="14088" width="14" style="4" customWidth="1"/>
    <col min="14089" max="14089" width="12" style="4" bestFit="1" customWidth="1"/>
    <col min="14090" max="14090" width="11.53515625" style="4" bestFit="1" customWidth="1"/>
    <col min="14091" max="14091" width="25.765625" style="4" customWidth="1"/>
    <col min="14092" max="14337" width="10.23046875" style="4"/>
    <col min="14338" max="14338" width="18" style="4" customWidth="1"/>
    <col min="14339" max="14339" width="29" style="4" bestFit="1" customWidth="1"/>
    <col min="14340" max="14340" width="13.23046875" style="4" bestFit="1" customWidth="1"/>
    <col min="14341" max="14341" width="12.23046875" style="4" bestFit="1" customWidth="1"/>
    <col min="14342" max="14342" width="24.23046875" style="4" bestFit="1" customWidth="1"/>
    <col min="14343" max="14343" width="10.23046875" style="4"/>
    <col min="14344" max="14344" width="14" style="4" customWidth="1"/>
    <col min="14345" max="14345" width="12" style="4" bestFit="1" customWidth="1"/>
    <col min="14346" max="14346" width="11.53515625" style="4" bestFit="1" customWidth="1"/>
    <col min="14347" max="14347" width="25.765625" style="4" customWidth="1"/>
    <col min="14348" max="14593" width="10.23046875" style="4"/>
    <col min="14594" max="14594" width="18" style="4" customWidth="1"/>
    <col min="14595" max="14595" width="29" style="4" bestFit="1" customWidth="1"/>
    <col min="14596" max="14596" width="13.23046875" style="4" bestFit="1" customWidth="1"/>
    <col min="14597" max="14597" width="12.23046875" style="4" bestFit="1" customWidth="1"/>
    <col min="14598" max="14598" width="24.23046875" style="4" bestFit="1" customWidth="1"/>
    <col min="14599" max="14599" width="10.23046875" style="4"/>
    <col min="14600" max="14600" width="14" style="4" customWidth="1"/>
    <col min="14601" max="14601" width="12" style="4" bestFit="1" customWidth="1"/>
    <col min="14602" max="14602" width="11.53515625" style="4" bestFit="1" customWidth="1"/>
    <col min="14603" max="14603" width="25.765625" style="4" customWidth="1"/>
    <col min="14604" max="14849" width="10.23046875" style="4"/>
    <col min="14850" max="14850" width="18" style="4" customWidth="1"/>
    <col min="14851" max="14851" width="29" style="4" bestFit="1" customWidth="1"/>
    <col min="14852" max="14852" width="13.23046875" style="4" bestFit="1" customWidth="1"/>
    <col min="14853" max="14853" width="12.23046875" style="4" bestFit="1" customWidth="1"/>
    <col min="14854" max="14854" width="24.23046875" style="4" bestFit="1" customWidth="1"/>
    <col min="14855" max="14855" width="10.23046875" style="4"/>
    <col min="14856" max="14856" width="14" style="4" customWidth="1"/>
    <col min="14857" max="14857" width="12" style="4" bestFit="1" customWidth="1"/>
    <col min="14858" max="14858" width="11.53515625" style="4" bestFit="1" customWidth="1"/>
    <col min="14859" max="14859" width="25.765625" style="4" customWidth="1"/>
    <col min="14860" max="15105" width="10.23046875" style="4"/>
    <col min="15106" max="15106" width="18" style="4" customWidth="1"/>
    <col min="15107" max="15107" width="29" style="4" bestFit="1" customWidth="1"/>
    <col min="15108" max="15108" width="13.23046875" style="4" bestFit="1" customWidth="1"/>
    <col min="15109" max="15109" width="12.23046875" style="4" bestFit="1" customWidth="1"/>
    <col min="15110" max="15110" width="24.23046875" style="4" bestFit="1" customWidth="1"/>
    <col min="15111" max="15111" width="10.23046875" style="4"/>
    <col min="15112" max="15112" width="14" style="4" customWidth="1"/>
    <col min="15113" max="15113" width="12" style="4" bestFit="1" customWidth="1"/>
    <col min="15114" max="15114" width="11.53515625" style="4" bestFit="1" customWidth="1"/>
    <col min="15115" max="15115" width="25.765625" style="4" customWidth="1"/>
    <col min="15116" max="15361" width="10.23046875" style="4"/>
    <col min="15362" max="15362" width="18" style="4" customWidth="1"/>
    <col min="15363" max="15363" width="29" style="4" bestFit="1" customWidth="1"/>
    <col min="15364" max="15364" width="13.23046875" style="4" bestFit="1" customWidth="1"/>
    <col min="15365" max="15365" width="12.23046875" style="4" bestFit="1" customWidth="1"/>
    <col min="15366" max="15366" width="24.23046875" style="4" bestFit="1" customWidth="1"/>
    <col min="15367" max="15367" width="10.23046875" style="4"/>
    <col min="15368" max="15368" width="14" style="4" customWidth="1"/>
    <col min="15369" max="15369" width="12" style="4" bestFit="1" customWidth="1"/>
    <col min="15370" max="15370" width="11.53515625" style="4" bestFit="1" customWidth="1"/>
    <col min="15371" max="15371" width="25.765625" style="4" customWidth="1"/>
    <col min="15372" max="15617" width="10.23046875" style="4"/>
    <col min="15618" max="15618" width="18" style="4" customWidth="1"/>
    <col min="15619" max="15619" width="29" style="4" bestFit="1" customWidth="1"/>
    <col min="15620" max="15620" width="13.23046875" style="4" bestFit="1" customWidth="1"/>
    <col min="15621" max="15621" width="12.23046875" style="4" bestFit="1" customWidth="1"/>
    <col min="15622" max="15622" width="24.23046875" style="4" bestFit="1" customWidth="1"/>
    <col min="15623" max="15623" width="10.23046875" style="4"/>
    <col min="15624" max="15624" width="14" style="4" customWidth="1"/>
    <col min="15625" max="15625" width="12" style="4" bestFit="1" customWidth="1"/>
    <col min="15626" max="15626" width="11.53515625" style="4" bestFit="1" customWidth="1"/>
    <col min="15627" max="15627" width="25.765625" style="4" customWidth="1"/>
    <col min="15628" max="15873" width="10.23046875" style="4"/>
    <col min="15874" max="15874" width="18" style="4" customWidth="1"/>
    <col min="15875" max="15875" width="29" style="4" bestFit="1" customWidth="1"/>
    <col min="15876" max="15876" width="13.23046875" style="4" bestFit="1" customWidth="1"/>
    <col min="15877" max="15877" width="12.23046875" style="4" bestFit="1" customWidth="1"/>
    <col min="15878" max="15878" width="24.23046875" style="4" bestFit="1" customWidth="1"/>
    <col min="15879" max="15879" width="10.23046875" style="4"/>
    <col min="15880" max="15880" width="14" style="4" customWidth="1"/>
    <col min="15881" max="15881" width="12" style="4" bestFit="1" customWidth="1"/>
    <col min="15882" max="15882" width="11.53515625" style="4" bestFit="1" customWidth="1"/>
    <col min="15883" max="15883" width="25.765625" style="4" customWidth="1"/>
    <col min="15884" max="16129" width="10.23046875" style="4"/>
    <col min="16130" max="16130" width="18" style="4" customWidth="1"/>
    <col min="16131" max="16131" width="29" style="4" bestFit="1" customWidth="1"/>
    <col min="16132" max="16132" width="13.23046875" style="4" bestFit="1" customWidth="1"/>
    <col min="16133" max="16133" width="12.23046875" style="4" bestFit="1" customWidth="1"/>
    <col min="16134" max="16134" width="24.23046875" style="4" bestFit="1" customWidth="1"/>
    <col min="16135" max="16135" width="10.23046875" style="4"/>
    <col min="16136" max="16136" width="14" style="4" customWidth="1"/>
    <col min="16137" max="16137" width="12" style="4" bestFit="1" customWidth="1"/>
    <col min="16138" max="16138" width="11.53515625" style="4" bestFit="1" customWidth="1"/>
    <col min="16139" max="16139" width="25.765625" style="4" customWidth="1"/>
    <col min="16140" max="16384" width="10.23046875" style="4"/>
  </cols>
  <sheetData>
    <row r="1" spans="2:9" ht="15.45" thickBot="1" x14ac:dyDescent="0.4"/>
    <row r="2" spans="2:9" ht="19.75" x14ac:dyDescent="0.35">
      <c r="D2" s="163" t="s">
        <v>3</v>
      </c>
      <c r="E2" s="367" t="s">
        <v>480</v>
      </c>
      <c r="F2" s="80"/>
      <c r="G2" s="80"/>
      <c r="H2" s="80"/>
      <c r="I2" s="80"/>
    </row>
    <row r="3" spans="2:9" ht="19.75" x14ac:dyDescent="0.35">
      <c r="D3" s="368" t="str">
        <f>$B$10</f>
        <v>سرويس كاركنان عملياتي</v>
      </c>
      <c r="E3" s="369">
        <f>$H$17</f>
        <v>2400</v>
      </c>
      <c r="F3" s="80"/>
      <c r="G3" s="80"/>
      <c r="H3" s="80"/>
      <c r="I3" s="80"/>
    </row>
    <row r="4" spans="2:9" ht="19.75" x14ac:dyDescent="0.35">
      <c r="D4" s="368" t="str">
        <f>$B$20</f>
        <v>هزينه‌هاي حمل و نقل ريالي</v>
      </c>
      <c r="E4" s="369">
        <f>$I$27</f>
        <v>200</v>
      </c>
      <c r="F4" s="80"/>
      <c r="G4" s="80"/>
      <c r="H4" s="80"/>
      <c r="I4" s="80"/>
    </row>
    <row r="5" spans="2:9" ht="20.149999999999999" thickBot="1" x14ac:dyDescent="0.4">
      <c r="D5" s="189" t="s">
        <v>2</v>
      </c>
      <c r="E5" s="174">
        <f>SUM(E3:E4)</f>
        <v>2600</v>
      </c>
      <c r="F5" s="80"/>
      <c r="G5" s="80"/>
      <c r="H5" s="80"/>
      <c r="I5" s="80"/>
    </row>
    <row r="6" spans="2:9" ht="20.149999999999999" thickBot="1" x14ac:dyDescent="0.4">
      <c r="D6" s="139"/>
      <c r="E6" s="117"/>
      <c r="F6" s="80"/>
      <c r="G6" s="80"/>
      <c r="H6" s="80"/>
      <c r="I6" s="80"/>
    </row>
    <row r="7" spans="2:9" ht="19.75" x14ac:dyDescent="0.35">
      <c r="D7" s="164" t="s">
        <v>3</v>
      </c>
      <c r="E7" s="187" t="s">
        <v>223</v>
      </c>
      <c r="F7" s="80"/>
      <c r="G7" s="80"/>
      <c r="H7" s="80"/>
      <c r="I7" s="80"/>
    </row>
    <row r="8" spans="2:9" ht="20.149999999999999" thickBot="1" x14ac:dyDescent="0.4">
      <c r="D8" s="189" t="str">
        <f>B30</f>
        <v>هزينه‌هاي حمل و نقل ارزي</v>
      </c>
      <c r="E8" s="174">
        <f>$I$37</f>
        <v>0</v>
      </c>
      <c r="F8" s="80"/>
      <c r="G8" s="80"/>
      <c r="H8" s="80"/>
      <c r="I8" s="80"/>
    </row>
    <row r="9" spans="2:9" ht="20.149999999999999" thickBot="1" x14ac:dyDescent="0.4">
      <c r="D9" s="116"/>
      <c r="E9" s="117"/>
      <c r="F9" s="80"/>
      <c r="G9" s="129"/>
      <c r="H9" s="80"/>
      <c r="I9" s="80"/>
    </row>
    <row r="10" spans="2:9" ht="19.75" x14ac:dyDescent="0.35">
      <c r="B10" s="820" t="s">
        <v>513</v>
      </c>
      <c r="C10" s="821"/>
      <c r="D10" s="821"/>
      <c r="E10" s="821"/>
      <c r="F10" s="821"/>
      <c r="G10" s="821"/>
      <c r="H10" s="822"/>
    </row>
    <row r="11" spans="2:9" ht="18.45" customHeight="1" x14ac:dyDescent="0.35">
      <c r="B11" s="813" t="s">
        <v>65</v>
      </c>
      <c r="C11" s="811" t="s">
        <v>3</v>
      </c>
      <c r="D11" s="811" t="s">
        <v>515</v>
      </c>
      <c r="E11" s="811" t="s">
        <v>332</v>
      </c>
      <c r="F11" s="188" t="s">
        <v>518</v>
      </c>
      <c r="G11" s="188" t="s">
        <v>498</v>
      </c>
      <c r="H11" s="812" t="s">
        <v>10</v>
      </c>
    </row>
    <row r="12" spans="2:9" ht="18.45" x14ac:dyDescent="0.35">
      <c r="B12" s="813"/>
      <c r="C12" s="811"/>
      <c r="D12" s="811"/>
      <c r="E12" s="811"/>
      <c r="F12" s="188" t="s">
        <v>517</v>
      </c>
      <c r="G12" s="188" t="s">
        <v>62</v>
      </c>
      <c r="H12" s="812"/>
    </row>
    <row r="13" spans="2:9" ht="18.45" x14ac:dyDescent="0.35">
      <c r="B13" s="112">
        <v>1</v>
      </c>
      <c r="C13" s="83" t="s">
        <v>513</v>
      </c>
      <c r="D13" s="115" t="s">
        <v>516</v>
      </c>
      <c r="E13" s="108" t="s">
        <v>514</v>
      </c>
      <c r="F13" s="108">
        <v>4</v>
      </c>
      <c r="G13" s="108">
        <v>50000</v>
      </c>
      <c r="H13" s="109">
        <f>G13*F13*سالانه/هزار</f>
        <v>2400</v>
      </c>
    </row>
    <row r="14" spans="2:9" ht="18.45" customHeight="1" x14ac:dyDescent="0.35">
      <c r="B14" s="112">
        <v>2</v>
      </c>
      <c r="C14" s="83"/>
      <c r="D14" s="84"/>
      <c r="E14" s="84"/>
      <c r="F14" s="84"/>
      <c r="G14" s="84"/>
      <c r="H14" s="136"/>
    </row>
    <row r="15" spans="2:9" ht="18.45" x14ac:dyDescent="0.35">
      <c r="B15" s="112">
        <v>3</v>
      </c>
      <c r="C15" s="83"/>
      <c r="D15" s="84"/>
      <c r="E15" s="84"/>
      <c r="F15" s="108"/>
      <c r="G15" s="85"/>
      <c r="H15" s="134"/>
    </row>
    <row r="16" spans="2:9" ht="18.45" x14ac:dyDescent="0.35">
      <c r="B16" s="112">
        <v>4</v>
      </c>
      <c r="C16" s="83"/>
      <c r="D16" s="84"/>
      <c r="E16" s="84"/>
      <c r="F16" s="84"/>
      <c r="G16" s="85"/>
      <c r="H16" s="134"/>
    </row>
    <row r="17" spans="2:9" ht="20.149999999999999" thickBot="1" x14ac:dyDescent="0.4">
      <c r="B17" s="817" t="s">
        <v>2</v>
      </c>
      <c r="C17" s="818"/>
      <c r="D17" s="818"/>
      <c r="E17" s="818"/>
      <c r="F17" s="818"/>
      <c r="G17" s="819"/>
      <c r="H17" s="190">
        <f>SUM(H13:H16)</f>
        <v>2400</v>
      </c>
    </row>
    <row r="18" spans="2:9" ht="19.75" x14ac:dyDescent="0.35">
      <c r="D18" s="116"/>
      <c r="E18" s="117"/>
      <c r="F18" s="80"/>
      <c r="G18" s="129"/>
      <c r="H18" s="80"/>
      <c r="I18" s="80"/>
    </row>
    <row r="19" spans="2:9" ht="18.899999999999999" thickBot="1" x14ac:dyDescent="0.4">
      <c r="C19" s="80"/>
      <c r="D19" s="80"/>
      <c r="E19" s="80"/>
      <c r="F19" s="80"/>
      <c r="G19" s="80"/>
      <c r="H19" s="80"/>
      <c r="I19" s="80"/>
    </row>
    <row r="20" spans="2:9" ht="19.75" x14ac:dyDescent="0.35">
      <c r="B20" s="814" t="s">
        <v>500</v>
      </c>
      <c r="C20" s="815"/>
      <c r="D20" s="815"/>
      <c r="E20" s="815"/>
      <c r="F20" s="815"/>
      <c r="G20" s="815"/>
      <c r="H20" s="815"/>
      <c r="I20" s="816"/>
    </row>
    <row r="21" spans="2:9" ht="18.45" x14ac:dyDescent="0.35">
      <c r="B21" s="813" t="s">
        <v>65</v>
      </c>
      <c r="C21" s="811" t="s">
        <v>330</v>
      </c>
      <c r="D21" s="811" t="s">
        <v>38</v>
      </c>
      <c r="E21" s="811" t="s">
        <v>328</v>
      </c>
      <c r="F21" s="811" t="s">
        <v>332</v>
      </c>
      <c r="G21" s="811" t="s">
        <v>331</v>
      </c>
      <c r="H21" s="188" t="s">
        <v>498</v>
      </c>
      <c r="I21" s="812" t="s">
        <v>10</v>
      </c>
    </row>
    <row r="22" spans="2:9" ht="18.45" x14ac:dyDescent="0.35">
      <c r="B22" s="813"/>
      <c r="C22" s="811"/>
      <c r="D22" s="811"/>
      <c r="E22" s="811"/>
      <c r="F22" s="811"/>
      <c r="G22" s="811"/>
      <c r="H22" s="188" t="s">
        <v>62</v>
      </c>
      <c r="I22" s="812"/>
    </row>
    <row r="23" spans="2:9" ht="18.45" x14ac:dyDescent="0.35">
      <c r="B23" s="112">
        <v>1</v>
      </c>
      <c r="C23" s="83" t="s">
        <v>466</v>
      </c>
      <c r="D23" s="108" t="s">
        <v>393</v>
      </c>
      <c r="E23" s="115">
        <f>'مواد مصرفی'!$F$43/هزار</f>
        <v>0.34649999999999992</v>
      </c>
      <c r="F23" s="108" t="s">
        <v>467</v>
      </c>
      <c r="G23" s="108">
        <v>1</v>
      </c>
      <c r="H23" s="108">
        <v>150000</v>
      </c>
      <c r="I23" s="135">
        <f>G23*H23/هزار</f>
        <v>150</v>
      </c>
    </row>
    <row r="24" spans="2:9" ht="18.45" x14ac:dyDescent="0.35">
      <c r="B24" s="112">
        <v>2</v>
      </c>
      <c r="C24" s="83" t="s">
        <v>481</v>
      </c>
      <c r="D24" s="84" t="s">
        <v>238</v>
      </c>
      <c r="E24" s="84">
        <f>'مواد مصرفی'!$F$34/هزار</f>
        <v>0.51974999999999993</v>
      </c>
      <c r="F24" s="84" t="s">
        <v>482</v>
      </c>
      <c r="G24" s="84">
        <v>1</v>
      </c>
      <c r="H24" s="84">
        <v>50000</v>
      </c>
      <c r="I24" s="136">
        <f>G24*H24/هزار</f>
        <v>50</v>
      </c>
    </row>
    <row r="25" spans="2:9" ht="18.45" x14ac:dyDescent="0.35">
      <c r="B25" s="112">
        <v>3</v>
      </c>
      <c r="C25" s="83"/>
      <c r="D25" s="84"/>
      <c r="E25" s="84"/>
      <c r="F25" s="84"/>
      <c r="G25" s="108"/>
      <c r="H25" s="85"/>
      <c r="I25" s="134"/>
    </row>
    <row r="26" spans="2:9" ht="18.45" x14ac:dyDescent="0.35">
      <c r="B26" s="112">
        <v>4</v>
      </c>
      <c r="C26" s="83"/>
      <c r="D26" s="84"/>
      <c r="E26" s="84"/>
      <c r="F26" s="84"/>
      <c r="G26" s="84"/>
      <c r="H26" s="85"/>
      <c r="I26" s="134"/>
    </row>
    <row r="27" spans="2:9" ht="20.149999999999999" thickBot="1" x14ac:dyDescent="0.4">
      <c r="B27" s="645" t="s">
        <v>2</v>
      </c>
      <c r="C27" s="646"/>
      <c r="D27" s="646"/>
      <c r="E27" s="646"/>
      <c r="F27" s="646"/>
      <c r="G27" s="646"/>
      <c r="H27" s="646"/>
      <c r="I27" s="190">
        <f>SUM(I23:I26)</f>
        <v>200</v>
      </c>
    </row>
    <row r="29" spans="2:9" ht="15.45" thickBot="1" x14ac:dyDescent="0.4"/>
    <row r="30" spans="2:9" ht="19.75" x14ac:dyDescent="0.35">
      <c r="B30" s="814" t="s">
        <v>501</v>
      </c>
      <c r="C30" s="815"/>
      <c r="D30" s="815"/>
      <c r="E30" s="815"/>
      <c r="F30" s="815"/>
      <c r="G30" s="815"/>
      <c r="H30" s="815"/>
      <c r="I30" s="816"/>
    </row>
    <row r="31" spans="2:9" ht="18.45" x14ac:dyDescent="0.35">
      <c r="B31" s="813" t="s">
        <v>65</v>
      </c>
      <c r="C31" s="811" t="s">
        <v>330</v>
      </c>
      <c r="D31" s="811" t="s">
        <v>38</v>
      </c>
      <c r="E31" s="811" t="s">
        <v>328</v>
      </c>
      <c r="F31" s="811" t="s">
        <v>332</v>
      </c>
      <c r="G31" s="811" t="s">
        <v>331</v>
      </c>
      <c r="H31" s="188" t="s">
        <v>498</v>
      </c>
      <c r="I31" s="812" t="s">
        <v>61</v>
      </c>
    </row>
    <row r="32" spans="2:9" ht="18.45" x14ac:dyDescent="0.35">
      <c r="B32" s="813"/>
      <c r="C32" s="811"/>
      <c r="D32" s="811"/>
      <c r="E32" s="811"/>
      <c r="F32" s="811"/>
      <c r="G32" s="811"/>
      <c r="H32" s="188" t="s">
        <v>11</v>
      </c>
      <c r="I32" s="812"/>
    </row>
    <row r="33" spans="2:9" ht="18.45" x14ac:dyDescent="0.35">
      <c r="B33" s="112">
        <v>1</v>
      </c>
      <c r="C33" s="83"/>
      <c r="D33" s="108"/>
      <c r="E33" s="115"/>
      <c r="F33" s="108"/>
      <c r="G33" s="108"/>
      <c r="H33" s="108"/>
      <c r="I33" s="135"/>
    </row>
    <row r="34" spans="2:9" ht="18.45" x14ac:dyDescent="0.35">
      <c r="B34" s="112">
        <v>2</v>
      </c>
      <c r="C34" s="83"/>
      <c r="D34" s="84"/>
      <c r="E34" s="84"/>
      <c r="F34" s="84"/>
      <c r="G34" s="84"/>
      <c r="H34" s="84"/>
      <c r="I34" s="136"/>
    </row>
    <row r="35" spans="2:9" ht="18.45" x14ac:dyDescent="0.35">
      <c r="B35" s="112">
        <v>3</v>
      </c>
      <c r="C35" s="83"/>
      <c r="D35" s="84"/>
      <c r="E35" s="84"/>
      <c r="F35" s="84"/>
      <c r="G35" s="108"/>
      <c r="H35" s="85"/>
      <c r="I35" s="134"/>
    </row>
    <row r="36" spans="2:9" ht="18.45" x14ac:dyDescent="0.35">
      <c r="B36" s="112">
        <v>4</v>
      </c>
      <c r="C36" s="83"/>
      <c r="D36" s="84"/>
      <c r="E36" s="84"/>
      <c r="F36" s="84"/>
      <c r="G36" s="84"/>
      <c r="H36" s="85"/>
      <c r="I36" s="134"/>
    </row>
    <row r="37" spans="2:9" ht="20.149999999999999" thickBot="1" x14ac:dyDescent="0.4">
      <c r="B37" s="645" t="s">
        <v>2</v>
      </c>
      <c r="C37" s="646"/>
      <c r="D37" s="646"/>
      <c r="E37" s="646"/>
      <c r="F37" s="646"/>
      <c r="G37" s="646"/>
      <c r="H37" s="646"/>
      <c r="I37" s="190">
        <f>SUM(I33:I36)</f>
        <v>0</v>
      </c>
    </row>
  </sheetData>
  <mergeCells count="25">
    <mergeCell ref="B10:H10"/>
    <mergeCell ref="B11:B12"/>
    <mergeCell ref="C11:C12"/>
    <mergeCell ref="D11:D12"/>
    <mergeCell ref="E11:E12"/>
    <mergeCell ref="H11:H12"/>
    <mergeCell ref="B17:G17"/>
    <mergeCell ref="C21:C22"/>
    <mergeCell ref="D21:D22"/>
    <mergeCell ref="E21:E22"/>
    <mergeCell ref="F21:F22"/>
    <mergeCell ref="G21:G22"/>
    <mergeCell ref="B20:I20"/>
    <mergeCell ref="B21:B22"/>
    <mergeCell ref="B37:H37"/>
    <mergeCell ref="F31:F32"/>
    <mergeCell ref="G31:G32"/>
    <mergeCell ref="I31:I32"/>
    <mergeCell ref="I21:I22"/>
    <mergeCell ref="C31:C32"/>
    <mergeCell ref="D31:D32"/>
    <mergeCell ref="E31:E32"/>
    <mergeCell ref="B31:B32"/>
    <mergeCell ref="B30:I30"/>
    <mergeCell ref="B27:H27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7FF0-6E2B-4A8A-9660-1953891D22F0}">
  <sheetPr>
    <tabColor theme="3" tint="0.79998168889431442"/>
  </sheetPr>
  <dimension ref="B1:L22"/>
  <sheetViews>
    <sheetView rightToLeft="1" zoomScale="90" zoomScaleNormal="90" zoomScaleSheetLayoutView="100" workbookViewId="0">
      <selection activeCell="I16" sqref="I16"/>
    </sheetView>
  </sheetViews>
  <sheetFormatPr defaultColWidth="10.23046875" defaultRowHeight="18.45" x14ac:dyDescent="0.75"/>
  <cols>
    <col min="1" max="1" width="6.15234375" style="23" customWidth="1"/>
    <col min="2" max="2" width="17.4609375" style="23" customWidth="1"/>
    <col min="3" max="3" width="43.69140625" style="23" customWidth="1"/>
    <col min="4" max="4" width="16.15234375" style="23" customWidth="1"/>
    <col min="5" max="5" width="19.61328125" style="23" customWidth="1"/>
    <col min="6" max="6" width="17.23046875" style="23" customWidth="1"/>
    <col min="7" max="7" width="21.23046875" style="23" customWidth="1"/>
    <col min="8" max="8" width="18" style="23" customWidth="1"/>
    <col min="9" max="9" width="21" style="23" customWidth="1"/>
    <col min="10" max="10" width="16.23046875" style="23" customWidth="1"/>
    <col min="11" max="18" width="10.765625" style="23" customWidth="1"/>
    <col min="19" max="19" width="11.23046875" style="23" bestFit="1" customWidth="1"/>
    <col min="20" max="20" width="18.53515625" style="23" bestFit="1" customWidth="1"/>
    <col min="21" max="21" width="12.53515625" style="23" bestFit="1" customWidth="1"/>
    <col min="22" max="16384" width="10.23046875" style="23"/>
  </cols>
  <sheetData>
    <row r="1" spans="2:12" ht="19.75" x14ac:dyDescent="0.85">
      <c r="C1" s="32"/>
      <c r="D1" s="32"/>
      <c r="E1" s="32"/>
      <c r="F1" s="32"/>
      <c r="G1" s="24"/>
      <c r="K1" s="33"/>
      <c r="L1" s="33"/>
    </row>
    <row r="2" spans="2:12" ht="19.75" x14ac:dyDescent="0.85">
      <c r="C2" s="32"/>
      <c r="D2" s="32"/>
      <c r="E2" s="32"/>
      <c r="F2" s="32"/>
      <c r="G2" s="24"/>
      <c r="K2" s="33"/>
      <c r="L2" s="33"/>
    </row>
    <row r="3" spans="2:12" ht="19.75" x14ac:dyDescent="0.85">
      <c r="C3" s="32"/>
      <c r="D3" s="32"/>
      <c r="E3" s="32"/>
      <c r="F3" s="32"/>
      <c r="G3" s="24"/>
      <c r="K3" s="33"/>
      <c r="L3" s="33"/>
    </row>
    <row r="4" spans="2:12" ht="19.75" x14ac:dyDescent="0.85">
      <c r="C4" s="32"/>
      <c r="D4" s="32"/>
      <c r="E4" s="32"/>
      <c r="F4" s="32"/>
      <c r="G4" s="24"/>
      <c r="K4" s="33"/>
      <c r="L4" s="33"/>
    </row>
    <row r="5" spans="2:12" ht="20.149999999999999" thickBot="1" x14ac:dyDescent="0.9">
      <c r="C5" s="32"/>
      <c r="D5" s="32"/>
      <c r="E5" s="32"/>
      <c r="F5" s="32"/>
      <c r="G5" s="24"/>
      <c r="K5" s="33"/>
      <c r="L5" s="33"/>
    </row>
    <row r="6" spans="2:12" ht="19.75" x14ac:dyDescent="0.85">
      <c r="B6" s="586" t="s">
        <v>5865</v>
      </c>
      <c r="C6" s="587"/>
      <c r="E6" s="586" t="s">
        <v>5871</v>
      </c>
      <c r="F6" s="587"/>
      <c r="J6" s="33"/>
      <c r="K6" s="33"/>
    </row>
    <row r="7" spans="2:12" ht="19.75" x14ac:dyDescent="0.85">
      <c r="B7" s="101" t="s">
        <v>5862</v>
      </c>
      <c r="C7" s="102" t="s">
        <v>128</v>
      </c>
      <c r="E7" s="101" t="s">
        <v>5867</v>
      </c>
      <c r="F7" s="102" t="s">
        <v>128</v>
      </c>
      <c r="J7" s="33"/>
      <c r="K7" s="33"/>
    </row>
    <row r="8" spans="2:12" s="32" customFormat="1" ht="100" customHeight="1" x14ac:dyDescent="0.3">
      <c r="B8" s="223" t="s">
        <v>5818</v>
      </c>
      <c r="C8" s="559" t="s">
        <v>5868</v>
      </c>
      <c r="E8" s="223" t="s">
        <v>5811</v>
      </c>
      <c r="F8" s="559" t="s">
        <v>5814</v>
      </c>
      <c r="J8" s="76"/>
      <c r="K8" s="76"/>
    </row>
    <row r="9" spans="2:12" s="32" customFormat="1" ht="100" customHeight="1" x14ac:dyDescent="0.3">
      <c r="B9" s="223" t="s">
        <v>5823</v>
      </c>
      <c r="C9" s="559" t="s">
        <v>5869</v>
      </c>
      <c r="E9" s="223" t="s">
        <v>5812</v>
      </c>
      <c r="F9" s="559" t="s">
        <v>5820</v>
      </c>
      <c r="J9" s="76"/>
      <c r="K9" s="76"/>
    </row>
    <row r="10" spans="2:12" s="32" customFormat="1" ht="100" customHeight="1" thickBot="1" x14ac:dyDescent="0.35">
      <c r="B10" s="227" t="s">
        <v>5863</v>
      </c>
      <c r="C10" s="493" t="s">
        <v>5870</v>
      </c>
      <c r="E10" s="227" t="s">
        <v>5813</v>
      </c>
      <c r="F10" s="493" t="s">
        <v>5815</v>
      </c>
      <c r="J10" s="76"/>
      <c r="K10" s="76"/>
    </row>
    <row r="11" spans="2:12" ht="22.75" customHeight="1" x14ac:dyDescent="0.85">
      <c r="B11" s="93"/>
      <c r="C11" s="557"/>
      <c r="J11" s="33"/>
      <c r="K11" s="33"/>
    </row>
    <row r="12" spans="2:12" ht="20.149999999999999" thickBot="1" x14ac:dyDescent="0.9">
      <c r="B12" s="93"/>
      <c r="C12" s="557"/>
      <c r="D12" s="32"/>
      <c r="E12" s="32"/>
      <c r="F12" s="32"/>
      <c r="G12" s="24"/>
      <c r="K12" s="33"/>
      <c r="L12" s="33"/>
    </row>
    <row r="13" spans="2:12" ht="25.75" x14ac:dyDescent="0.85">
      <c r="B13" s="581" t="s">
        <v>5864</v>
      </c>
      <c r="C13" s="582"/>
      <c r="D13" s="582"/>
      <c r="E13" s="582"/>
      <c r="F13" s="582"/>
      <c r="G13" s="583"/>
      <c r="K13" s="33"/>
      <c r="L13" s="33"/>
    </row>
    <row r="14" spans="2:12" ht="20.149999999999999" customHeight="1" x14ac:dyDescent="0.75">
      <c r="B14" s="589" t="s">
        <v>5854</v>
      </c>
      <c r="C14" s="590"/>
      <c r="D14" s="588" t="s">
        <v>5822</v>
      </c>
      <c r="E14" s="588"/>
      <c r="F14" s="588"/>
      <c r="G14" s="497"/>
      <c r="H14" s="34"/>
      <c r="I14" s="31"/>
      <c r="J14" s="31"/>
    </row>
    <row r="15" spans="2:12" ht="20.149999999999999" customHeight="1" x14ac:dyDescent="0.75">
      <c r="B15" s="591"/>
      <c r="C15" s="592"/>
      <c r="D15" s="249" t="s">
        <v>5819</v>
      </c>
      <c r="E15" s="249" t="s">
        <v>5821</v>
      </c>
      <c r="F15" s="249" t="s">
        <v>5824</v>
      </c>
      <c r="G15" s="498" t="s">
        <v>128</v>
      </c>
      <c r="H15" s="34"/>
      <c r="I15" s="31"/>
      <c r="J15" s="31"/>
    </row>
    <row r="16" spans="2:12" ht="41.15" customHeight="1" thickBot="1" x14ac:dyDescent="0.8">
      <c r="B16" s="584" t="s">
        <v>5823</v>
      </c>
      <c r="C16" s="585"/>
      <c r="D16" s="153">
        <f>IF(B16="فروش برق",1,0)</f>
        <v>0</v>
      </c>
      <c r="E16" s="153">
        <f>IF(OR(B16="استخراج رمز ارز",B16="گاز مایع و استخراج رمزارز"),1,0)</f>
        <v>1</v>
      </c>
      <c r="F16" s="153">
        <f>IF(B16="گاز مایع و استخراج رمزارز",1,0)</f>
        <v>0</v>
      </c>
      <c r="G16" s="558" t="s">
        <v>5945</v>
      </c>
      <c r="H16" s="34"/>
      <c r="I16" s="31"/>
      <c r="J16" s="31"/>
    </row>
    <row r="17" spans="2:10" ht="19.850000000000001" customHeight="1" x14ac:dyDescent="0.75">
      <c r="B17" s="93"/>
      <c r="C17" s="93"/>
      <c r="D17" s="93"/>
      <c r="E17" s="93"/>
      <c r="F17" s="93"/>
      <c r="G17" s="494"/>
      <c r="H17" s="34"/>
      <c r="I17" s="31"/>
      <c r="J17" s="31"/>
    </row>
    <row r="18" spans="2:10" ht="19.850000000000001" customHeight="1" thickBot="1" x14ac:dyDescent="0.8">
      <c r="B18" s="93"/>
      <c r="C18" s="93"/>
      <c r="D18" s="93"/>
      <c r="E18" s="93"/>
      <c r="F18" s="93"/>
      <c r="G18" s="494"/>
      <c r="H18" s="34"/>
      <c r="I18" s="31"/>
      <c r="J18" s="31"/>
    </row>
    <row r="19" spans="2:10" ht="25.75" x14ac:dyDescent="0.75">
      <c r="B19" s="581" t="s">
        <v>5950</v>
      </c>
      <c r="C19" s="582"/>
      <c r="D19" s="582"/>
      <c r="E19" s="582"/>
      <c r="F19" s="582"/>
      <c r="G19" s="583"/>
    </row>
    <row r="20" spans="2:10" ht="19.75" x14ac:dyDescent="0.75">
      <c r="B20" s="593" t="s">
        <v>5816</v>
      </c>
      <c r="C20" s="588"/>
      <c r="D20" s="578" t="s">
        <v>5872</v>
      </c>
      <c r="E20" s="579"/>
      <c r="F20" s="579"/>
      <c r="G20" s="580"/>
    </row>
    <row r="21" spans="2:10" ht="19.75" x14ac:dyDescent="0.75">
      <c r="B21" s="593"/>
      <c r="C21" s="588"/>
      <c r="D21" s="249" t="s">
        <v>595</v>
      </c>
      <c r="E21" s="249" t="s">
        <v>596</v>
      </c>
      <c r="F21" s="249" t="s">
        <v>597</v>
      </c>
      <c r="G21" s="498" t="s">
        <v>5873</v>
      </c>
    </row>
    <row r="22" spans="2:10" ht="44.15" customHeight="1" thickBot="1" x14ac:dyDescent="0.8">
      <c r="B22" s="576" t="s">
        <v>5813</v>
      </c>
      <c r="C22" s="577"/>
      <c r="D22" s="441">
        <f>IF(B22="بدبينانه",'برآورد محصول'!D68,IF(B22="پايه",'برآورد محصول'!E68,'برآورد محصول'!F68))</f>
        <v>2.5000000000000001E-2</v>
      </c>
      <c r="E22" s="441">
        <f>IF(B22="بدبينانه",'برآورد محصول'!D69,IF(B22="پايه",'برآورد محصول'!E69,'برآورد محصول'!F69))</f>
        <v>0.02</v>
      </c>
      <c r="F22" s="441">
        <f>IF(B22="بدبينانه",'برآورد محصول'!D70,IF(B22="پايه",'برآورد محصول'!E70,'برآورد محصول'!F70))</f>
        <v>1.4999999999999999E-2</v>
      </c>
      <c r="G22" s="499">
        <f>IF(B22="بدبينانه",'برآورد محصول'!D71,IF(B22="پايه",'برآورد محصول'!E71,'برآورد محصول'!F71))</f>
        <v>0.01</v>
      </c>
    </row>
  </sheetData>
  <mergeCells count="10">
    <mergeCell ref="B22:C22"/>
    <mergeCell ref="D20:G20"/>
    <mergeCell ref="B13:G13"/>
    <mergeCell ref="B16:C16"/>
    <mergeCell ref="B6:C6"/>
    <mergeCell ref="D14:F14"/>
    <mergeCell ref="B14:C15"/>
    <mergeCell ref="B19:G19"/>
    <mergeCell ref="B20:C21"/>
    <mergeCell ref="E6:F6"/>
  </mergeCells>
  <phoneticPr fontId="3" type="noConversion"/>
  <dataValidations count="2">
    <dataValidation type="list" allowBlank="1" showInputMessage="1" showErrorMessage="1" sqref="B16:C18" xr:uid="{BA1B2D5E-81C5-4232-B317-421A30FD0F4F}">
      <formula1>$B$8:$B$10</formula1>
    </dataValidation>
    <dataValidation type="list" allowBlank="1" showInputMessage="1" showErrorMessage="1" sqref="B22:C22" xr:uid="{A3BE6859-5374-430E-946F-0E050837E3B7}">
      <formula1>$E$8:$E$10</formula1>
    </dataValidation>
  </dataValidations>
  <printOptions horizontalCentered="1"/>
  <pageMargins left="0.15748031496062992" right="0.19685039370078741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7C53-8DDE-4E4A-883C-D6CAC5F6DA92}">
  <sheetPr>
    <tabColor theme="9"/>
  </sheetPr>
  <dimension ref="B1:H9"/>
  <sheetViews>
    <sheetView rightToLeft="1" zoomScale="115" zoomScaleNormal="115" zoomScaleSheetLayoutView="115" workbookViewId="0">
      <selection activeCell="D20" sqref="D20"/>
    </sheetView>
  </sheetViews>
  <sheetFormatPr defaultColWidth="10.23046875" defaultRowHeight="15" x14ac:dyDescent="0.35"/>
  <cols>
    <col min="1" max="1" width="10.23046875" style="4"/>
    <col min="2" max="2" width="21" style="4" bestFit="1" customWidth="1"/>
    <col min="3" max="3" width="31.765625" style="4" bestFit="1" customWidth="1"/>
    <col min="4" max="4" width="16.53515625" style="4" bestFit="1" customWidth="1"/>
    <col min="5" max="5" width="13.765625" style="4" bestFit="1" customWidth="1"/>
    <col min="6" max="6" width="14.765625" style="4" customWidth="1"/>
    <col min="7" max="7" width="16.23046875" style="4" bestFit="1" customWidth="1"/>
    <col min="8" max="8" width="22.23046875" style="4" bestFit="1" customWidth="1"/>
    <col min="9" max="251" width="10.23046875" style="4"/>
    <col min="252" max="252" width="18" style="4" customWidth="1"/>
    <col min="253" max="253" width="29" style="4" bestFit="1" customWidth="1"/>
    <col min="254" max="254" width="13.23046875" style="4" bestFit="1" customWidth="1"/>
    <col min="255" max="255" width="12.23046875" style="4" bestFit="1" customWidth="1"/>
    <col min="256" max="256" width="24.23046875" style="4" bestFit="1" customWidth="1"/>
    <col min="257" max="257" width="10.23046875" style="4"/>
    <col min="258" max="258" width="14" style="4" customWidth="1"/>
    <col min="259" max="259" width="12" style="4" bestFit="1" customWidth="1"/>
    <col min="260" max="260" width="11.53515625" style="4" bestFit="1" customWidth="1"/>
    <col min="261" max="261" width="25.765625" style="4" customWidth="1"/>
    <col min="262" max="507" width="10.23046875" style="4"/>
    <col min="508" max="508" width="18" style="4" customWidth="1"/>
    <col min="509" max="509" width="29" style="4" bestFit="1" customWidth="1"/>
    <col min="510" max="510" width="13.23046875" style="4" bestFit="1" customWidth="1"/>
    <col min="511" max="511" width="12.23046875" style="4" bestFit="1" customWidth="1"/>
    <col min="512" max="512" width="24.23046875" style="4" bestFit="1" customWidth="1"/>
    <col min="513" max="513" width="10.23046875" style="4"/>
    <col min="514" max="514" width="14" style="4" customWidth="1"/>
    <col min="515" max="515" width="12" style="4" bestFit="1" customWidth="1"/>
    <col min="516" max="516" width="11.53515625" style="4" bestFit="1" customWidth="1"/>
    <col min="517" max="517" width="25.765625" style="4" customWidth="1"/>
    <col min="518" max="763" width="10.23046875" style="4"/>
    <col min="764" max="764" width="18" style="4" customWidth="1"/>
    <col min="765" max="765" width="29" style="4" bestFit="1" customWidth="1"/>
    <col min="766" max="766" width="13.23046875" style="4" bestFit="1" customWidth="1"/>
    <col min="767" max="767" width="12.23046875" style="4" bestFit="1" customWidth="1"/>
    <col min="768" max="768" width="24.23046875" style="4" bestFit="1" customWidth="1"/>
    <col min="769" max="769" width="10.23046875" style="4"/>
    <col min="770" max="770" width="14" style="4" customWidth="1"/>
    <col min="771" max="771" width="12" style="4" bestFit="1" customWidth="1"/>
    <col min="772" max="772" width="11.53515625" style="4" bestFit="1" customWidth="1"/>
    <col min="773" max="773" width="25.765625" style="4" customWidth="1"/>
    <col min="774" max="1019" width="10.23046875" style="4"/>
    <col min="1020" max="1020" width="18" style="4" customWidth="1"/>
    <col min="1021" max="1021" width="29" style="4" bestFit="1" customWidth="1"/>
    <col min="1022" max="1022" width="13.23046875" style="4" bestFit="1" customWidth="1"/>
    <col min="1023" max="1023" width="12.23046875" style="4" bestFit="1" customWidth="1"/>
    <col min="1024" max="1024" width="24.23046875" style="4" bestFit="1" customWidth="1"/>
    <col min="1025" max="1025" width="10.23046875" style="4"/>
    <col min="1026" max="1026" width="14" style="4" customWidth="1"/>
    <col min="1027" max="1027" width="12" style="4" bestFit="1" customWidth="1"/>
    <col min="1028" max="1028" width="11.53515625" style="4" bestFit="1" customWidth="1"/>
    <col min="1029" max="1029" width="25.765625" style="4" customWidth="1"/>
    <col min="1030" max="1275" width="10.23046875" style="4"/>
    <col min="1276" max="1276" width="18" style="4" customWidth="1"/>
    <col min="1277" max="1277" width="29" style="4" bestFit="1" customWidth="1"/>
    <col min="1278" max="1278" width="13.23046875" style="4" bestFit="1" customWidth="1"/>
    <col min="1279" max="1279" width="12.23046875" style="4" bestFit="1" customWidth="1"/>
    <col min="1280" max="1280" width="24.23046875" style="4" bestFit="1" customWidth="1"/>
    <col min="1281" max="1281" width="10.23046875" style="4"/>
    <col min="1282" max="1282" width="14" style="4" customWidth="1"/>
    <col min="1283" max="1283" width="12" style="4" bestFit="1" customWidth="1"/>
    <col min="1284" max="1284" width="11.53515625" style="4" bestFit="1" customWidth="1"/>
    <col min="1285" max="1285" width="25.765625" style="4" customWidth="1"/>
    <col min="1286" max="1531" width="10.23046875" style="4"/>
    <col min="1532" max="1532" width="18" style="4" customWidth="1"/>
    <col min="1533" max="1533" width="29" style="4" bestFit="1" customWidth="1"/>
    <col min="1534" max="1534" width="13.23046875" style="4" bestFit="1" customWidth="1"/>
    <col min="1535" max="1535" width="12.23046875" style="4" bestFit="1" customWidth="1"/>
    <col min="1536" max="1536" width="24.23046875" style="4" bestFit="1" customWidth="1"/>
    <col min="1537" max="1537" width="10.23046875" style="4"/>
    <col min="1538" max="1538" width="14" style="4" customWidth="1"/>
    <col min="1539" max="1539" width="12" style="4" bestFit="1" customWidth="1"/>
    <col min="1540" max="1540" width="11.53515625" style="4" bestFit="1" customWidth="1"/>
    <col min="1541" max="1541" width="25.765625" style="4" customWidth="1"/>
    <col min="1542" max="1787" width="10.23046875" style="4"/>
    <col min="1788" max="1788" width="18" style="4" customWidth="1"/>
    <col min="1789" max="1789" width="29" style="4" bestFit="1" customWidth="1"/>
    <col min="1790" max="1790" width="13.23046875" style="4" bestFit="1" customWidth="1"/>
    <col min="1791" max="1791" width="12.23046875" style="4" bestFit="1" customWidth="1"/>
    <col min="1792" max="1792" width="24.23046875" style="4" bestFit="1" customWidth="1"/>
    <col min="1793" max="1793" width="10.23046875" style="4"/>
    <col min="1794" max="1794" width="14" style="4" customWidth="1"/>
    <col min="1795" max="1795" width="12" style="4" bestFit="1" customWidth="1"/>
    <col min="1796" max="1796" width="11.53515625" style="4" bestFit="1" customWidth="1"/>
    <col min="1797" max="1797" width="25.765625" style="4" customWidth="1"/>
    <col min="1798" max="2043" width="10.23046875" style="4"/>
    <col min="2044" max="2044" width="18" style="4" customWidth="1"/>
    <col min="2045" max="2045" width="29" style="4" bestFit="1" customWidth="1"/>
    <col min="2046" max="2046" width="13.23046875" style="4" bestFit="1" customWidth="1"/>
    <col min="2047" max="2047" width="12.23046875" style="4" bestFit="1" customWidth="1"/>
    <col min="2048" max="2048" width="24.23046875" style="4" bestFit="1" customWidth="1"/>
    <col min="2049" max="2049" width="10.23046875" style="4"/>
    <col min="2050" max="2050" width="14" style="4" customWidth="1"/>
    <col min="2051" max="2051" width="12" style="4" bestFit="1" customWidth="1"/>
    <col min="2052" max="2052" width="11.53515625" style="4" bestFit="1" customWidth="1"/>
    <col min="2053" max="2053" width="25.765625" style="4" customWidth="1"/>
    <col min="2054" max="2299" width="10.23046875" style="4"/>
    <col min="2300" max="2300" width="18" style="4" customWidth="1"/>
    <col min="2301" max="2301" width="29" style="4" bestFit="1" customWidth="1"/>
    <col min="2302" max="2302" width="13.23046875" style="4" bestFit="1" customWidth="1"/>
    <col min="2303" max="2303" width="12.23046875" style="4" bestFit="1" customWidth="1"/>
    <col min="2304" max="2304" width="24.23046875" style="4" bestFit="1" customWidth="1"/>
    <col min="2305" max="2305" width="10.23046875" style="4"/>
    <col min="2306" max="2306" width="14" style="4" customWidth="1"/>
    <col min="2307" max="2307" width="12" style="4" bestFit="1" customWidth="1"/>
    <col min="2308" max="2308" width="11.53515625" style="4" bestFit="1" customWidth="1"/>
    <col min="2309" max="2309" width="25.765625" style="4" customWidth="1"/>
    <col min="2310" max="2555" width="10.23046875" style="4"/>
    <col min="2556" max="2556" width="18" style="4" customWidth="1"/>
    <col min="2557" max="2557" width="29" style="4" bestFit="1" customWidth="1"/>
    <col min="2558" max="2558" width="13.23046875" style="4" bestFit="1" customWidth="1"/>
    <col min="2559" max="2559" width="12.23046875" style="4" bestFit="1" customWidth="1"/>
    <col min="2560" max="2560" width="24.23046875" style="4" bestFit="1" customWidth="1"/>
    <col min="2561" max="2561" width="10.23046875" style="4"/>
    <col min="2562" max="2562" width="14" style="4" customWidth="1"/>
    <col min="2563" max="2563" width="12" style="4" bestFit="1" customWidth="1"/>
    <col min="2564" max="2564" width="11.53515625" style="4" bestFit="1" customWidth="1"/>
    <col min="2565" max="2565" width="25.765625" style="4" customWidth="1"/>
    <col min="2566" max="2811" width="10.23046875" style="4"/>
    <col min="2812" max="2812" width="18" style="4" customWidth="1"/>
    <col min="2813" max="2813" width="29" style="4" bestFit="1" customWidth="1"/>
    <col min="2814" max="2814" width="13.23046875" style="4" bestFit="1" customWidth="1"/>
    <col min="2815" max="2815" width="12.23046875" style="4" bestFit="1" customWidth="1"/>
    <col min="2816" max="2816" width="24.23046875" style="4" bestFit="1" customWidth="1"/>
    <col min="2817" max="2817" width="10.23046875" style="4"/>
    <col min="2818" max="2818" width="14" style="4" customWidth="1"/>
    <col min="2819" max="2819" width="12" style="4" bestFit="1" customWidth="1"/>
    <col min="2820" max="2820" width="11.53515625" style="4" bestFit="1" customWidth="1"/>
    <col min="2821" max="2821" width="25.765625" style="4" customWidth="1"/>
    <col min="2822" max="3067" width="10.23046875" style="4"/>
    <col min="3068" max="3068" width="18" style="4" customWidth="1"/>
    <col min="3069" max="3069" width="29" style="4" bestFit="1" customWidth="1"/>
    <col min="3070" max="3070" width="13.23046875" style="4" bestFit="1" customWidth="1"/>
    <col min="3071" max="3071" width="12.23046875" style="4" bestFit="1" customWidth="1"/>
    <col min="3072" max="3072" width="24.23046875" style="4" bestFit="1" customWidth="1"/>
    <col min="3073" max="3073" width="10.23046875" style="4"/>
    <col min="3074" max="3074" width="14" style="4" customWidth="1"/>
    <col min="3075" max="3075" width="12" style="4" bestFit="1" customWidth="1"/>
    <col min="3076" max="3076" width="11.53515625" style="4" bestFit="1" customWidth="1"/>
    <col min="3077" max="3077" width="25.765625" style="4" customWidth="1"/>
    <col min="3078" max="3323" width="10.23046875" style="4"/>
    <col min="3324" max="3324" width="18" style="4" customWidth="1"/>
    <col min="3325" max="3325" width="29" style="4" bestFit="1" customWidth="1"/>
    <col min="3326" max="3326" width="13.23046875" style="4" bestFit="1" customWidth="1"/>
    <col min="3327" max="3327" width="12.23046875" style="4" bestFit="1" customWidth="1"/>
    <col min="3328" max="3328" width="24.23046875" style="4" bestFit="1" customWidth="1"/>
    <col min="3329" max="3329" width="10.23046875" style="4"/>
    <col min="3330" max="3330" width="14" style="4" customWidth="1"/>
    <col min="3331" max="3331" width="12" style="4" bestFit="1" customWidth="1"/>
    <col min="3332" max="3332" width="11.53515625" style="4" bestFit="1" customWidth="1"/>
    <col min="3333" max="3333" width="25.765625" style="4" customWidth="1"/>
    <col min="3334" max="3579" width="10.23046875" style="4"/>
    <col min="3580" max="3580" width="18" style="4" customWidth="1"/>
    <col min="3581" max="3581" width="29" style="4" bestFit="1" customWidth="1"/>
    <col min="3582" max="3582" width="13.23046875" style="4" bestFit="1" customWidth="1"/>
    <col min="3583" max="3583" width="12.23046875" style="4" bestFit="1" customWidth="1"/>
    <col min="3584" max="3584" width="24.23046875" style="4" bestFit="1" customWidth="1"/>
    <col min="3585" max="3585" width="10.23046875" style="4"/>
    <col min="3586" max="3586" width="14" style="4" customWidth="1"/>
    <col min="3587" max="3587" width="12" style="4" bestFit="1" customWidth="1"/>
    <col min="3588" max="3588" width="11.53515625" style="4" bestFit="1" customWidth="1"/>
    <col min="3589" max="3589" width="25.765625" style="4" customWidth="1"/>
    <col min="3590" max="3835" width="10.23046875" style="4"/>
    <col min="3836" max="3836" width="18" style="4" customWidth="1"/>
    <col min="3837" max="3837" width="29" style="4" bestFit="1" customWidth="1"/>
    <col min="3838" max="3838" width="13.23046875" style="4" bestFit="1" customWidth="1"/>
    <col min="3839" max="3839" width="12.23046875" style="4" bestFit="1" customWidth="1"/>
    <col min="3840" max="3840" width="24.23046875" style="4" bestFit="1" customWidth="1"/>
    <col min="3841" max="3841" width="10.23046875" style="4"/>
    <col min="3842" max="3842" width="14" style="4" customWidth="1"/>
    <col min="3843" max="3843" width="12" style="4" bestFit="1" customWidth="1"/>
    <col min="3844" max="3844" width="11.53515625" style="4" bestFit="1" customWidth="1"/>
    <col min="3845" max="3845" width="25.765625" style="4" customWidth="1"/>
    <col min="3846" max="4091" width="10.23046875" style="4"/>
    <col min="4092" max="4092" width="18" style="4" customWidth="1"/>
    <col min="4093" max="4093" width="29" style="4" bestFit="1" customWidth="1"/>
    <col min="4094" max="4094" width="13.23046875" style="4" bestFit="1" customWidth="1"/>
    <col min="4095" max="4095" width="12.23046875" style="4" bestFit="1" customWidth="1"/>
    <col min="4096" max="4096" width="24.23046875" style="4" bestFit="1" customWidth="1"/>
    <col min="4097" max="4097" width="10.23046875" style="4"/>
    <col min="4098" max="4098" width="14" style="4" customWidth="1"/>
    <col min="4099" max="4099" width="12" style="4" bestFit="1" customWidth="1"/>
    <col min="4100" max="4100" width="11.53515625" style="4" bestFit="1" customWidth="1"/>
    <col min="4101" max="4101" width="25.765625" style="4" customWidth="1"/>
    <col min="4102" max="4347" width="10.23046875" style="4"/>
    <col min="4348" max="4348" width="18" style="4" customWidth="1"/>
    <col min="4349" max="4349" width="29" style="4" bestFit="1" customWidth="1"/>
    <col min="4350" max="4350" width="13.23046875" style="4" bestFit="1" customWidth="1"/>
    <col min="4351" max="4351" width="12.23046875" style="4" bestFit="1" customWidth="1"/>
    <col min="4352" max="4352" width="24.23046875" style="4" bestFit="1" customWidth="1"/>
    <col min="4353" max="4353" width="10.23046875" style="4"/>
    <col min="4354" max="4354" width="14" style="4" customWidth="1"/>
    <col min="4355" max="4355" width="12" style="4" bestFit="1" customWidth="1"/>
    <col min="4356" max="4356" width="11.53515625" style="4" bestFit="1" customWidth="1"/>
    <col min="4357" max="4357" width="25.765625" style="4" customWidth="1"/>
    <col min="4358" max="4603" width="10.23046875" style="4"/>
    <col min="4604" max="4604" width="18" style="4" customWidth="1"/>
    <col min="4605" max="4605" width="29" style="4" bestFit="1" customWidth="1"/>
    <col min="4606" max="4606" width="13.23046875" style="4" bestFit="1" customWidth="1"/>
    <col min="4607" max="4607" width="12.23046875" style="4" bestFit="1" customWidth="1"/>
    <col min="4608" max="4608" width="24.23046875" style="4" bestFit="1" customWidth="1"/>
    <col min="4609" max="4609" width="10.23046875" style="4"/>
    <col min="4610" max="4610" width="14" style="4" customWidth="1"/>
    <col min="4611" max="4611" width="12" style="4" bestFit="1" customWidth="1"/>
    <col min="4612" max="4612" width="11.53515625" style="4" bestFit="1" customWidth="1"/>
    <col min="4613" max="4613" width="25.765625" style="4" customWidth="1"/>
    <col min="4614" max="4859" width="10.23046875" style="4"/>
    <col min="4860" max="4860" width="18" style="4" customWidth="1"/>
    <col min="4861" max="4861" width="29" style="4" bestFit="1" customWidth="1"/>
    <col min="4862" max="4862" width="13.23046875" style="4" bestFit="1" customWidth="1"/>
    <col min="4863" max="4863" width="12.23046875" style="4" bestFit="1" customWidth="1"/>
    <col min="4864" max="4864" width="24.23046875" style="4" bestFit="1" customWidth="1"/>
    <col min="4865" max="4865" width="10.23046875" style="4"/>
    <col min="4866" max="4866" width="14" style="4" customWidth="1"/>
    <col min="4867" max="4867" width="12" style="4" bestFit="1" customWidth="1"/>
    <col min="4868" max="4868" width="11.53515625" style="4" bestFit="1" customWidth="1"/>
    <col min="4869" max="4869" width="25.765625" style="4" customWidth="1"/>
    <col min="4870" max="5115" width="10.23046875" style="4"/>
    <col min="5116" max="5116" width="18" style="4" customWidth="1"/>
    <col min="5117" max="5117" width="29" style="4" bestFit="1" customWidth="1"/>
    <col min="5118" max="5118" width="13.23046875" style="4" bestFit="1" customWidth="1"/>
    <col min="5119" max="5119" width="12.23046875" style="4" bestFit="1" customWidth="1"/>
    <col min="5120" max="5120" width="24.23046875" style="4" bestFit="1" customWidth="1"/>
    <col min="5121" max="5121" width="10.23046875" style="4"/>
    <col min="5122" max="5122" width="14" style="4" customWidth="1"/>
    <col min="5123" max="5123" width="12" style="4" bestFit="1" customWidth="1"/>
    <col min="5124" max="5124" width="11.53515625" style="4" bestFit="1" customWidth="1"/>
    <col min="5125" max="5125" width="25.765625" style="4" customWidth="1"/>
    <col min="5126" max="5371" width="10.23046875" style="4"/>
    <col min="5372" max="5372" width="18" style="4" customWidth="1"/>
    <col min="5373" max="5373" width="29" style="4" bestFit="1" customWidth="1"/>
    <col min="5374" max="5374" width="13.23046875" style="4" bestFit="1" customWidth="1"/>
    <col min="5375" max="5375" width="12.23046875" style="4" bestFit="1" customWidth="1"/>
    <col min="5376" max="5376" width="24.23046875" style="4" bestFit="1" customWidth="1"/>
    <col min="5377" max="5377" width="10.23046875" style="4"/>
    <col min="5378" max="5378" width="14" style="4" customWidth="1"/>
    <col min="5379" max="5379" width="12" style="4" bestFit="1" customWidth="1"/>
    <col min="5380" max="5380" width="11.53515625" style="4" bestFit="1" customWidth="1"/>
    <col min="5381" max="5381" width="25.765625" style="4" customWidth="1"/>
    <col min="5382" max="5627" width="10.23046875" style="4"/>
    <col min="5628" max="5628" width="18" style="4" customWidth="1"/>
    <col min="5629" max="5629" width="29" style="4" bestFit="1" customWidth="1"/>
    <col min="5630" max="5630" width="13.23046875" style="4" bestFit="1" customWidth="1"/>
    <col min="5631" max="5631" width="12.23046875" style="4" bestFit="1" customWidth="1"/>
    <col min="5632" max="5632" width="24.23046875" style="4" bestFit="1" customWidth="1"/>
    <col min="5633" max="5633" width="10.23046875" style="4"/>
    <col min="5634" max="5634" width="14" style="4" customWidth="1"/>
    <col min="5635" max="5635" width="12" style="4" bestFit="1" customWidth="1"/>
    <col min="5636" max="5636" width="11.53515625" style="4" bestFit="1" customWidth="1"/>
    <col min="5637" max="5637" width="25.765625" style="4" customWidth="1"/>
    <col min="5638" max="5883" width="10.23046875" style="4"/>
    <col min="5884" max="5884" width="18" style="4" customWidth="1"/>
    <col min="5885" max="5885" width="29" style="4" bestFit="1" customWidth="1"/>
    <col min="5886" max="5886" width="13.23046875" style="4" bestFit="1" customWidth="1"/>
    <col min="5887" max="5887" width="12.23046875" style="4" bestFit="1" customWidth="1"/>
    <col min="5888" max="5888" width="24.23046875" style="4" bestFit="1" customWidth="1"/>
    <col min="5889" max="5889" width="10.23046875" style="4"/>
    <col min="5890" max="5890" width="14" style="4" customWidth="1"/>
    <col min="5891" max="5891" width="12" style="4" bestFit="1" customWidth="1"/>
    <col min="5892" max="5892" width="11.53515625" style="4" bestFit="1" customWidth="1"/>
    <col min="5893" max="5893" width="25.765625" style="4" customWidth="1"/>
    <col min="5894" max="6139" width="10.23046875" style="4"/>
    <col min="6140" max="6140" width="18" style="4" customWidth="1"/>
    <col min="6141" max="6141" width="29" style="4" bestFit="1" customWidth="1"/>
    <col min="6142" max="6142" width="13.23046875" style="4" bestFit="1" customWidth="1"/>
    <col min="6143" max="6143" width="12.23046875" style="4" bestFit="1" customWidth="1"/>
    <col min="6144" max="6144" width="24.23046875" style="4" bestFit="1" customWidth="1"/>
    <col min="6145" max="6145" width="10.23046875" style="4"/>
    <col min="6146" max="6146" width="14" style="4" customWidth="1"/>
    <col min="6147" max="6147" width="12" style="4" bestFit="1" customWidth="1"/>
    <col min="6148" max="6148" width="11.53515625" style="4" bestFit="1" customWidth="1"/>
    <col min="6149" max="6149" width="25.765625" style="4" customWidth="1"/>
    <col min="6150" max="6395" width="10.23046875" style="4"/>
    <col min="6396" max="6396" width="18" style="4" customWidth="1"/>
    <col min="6397" max="6397" width="29" style="4" bestFit="1" customWidth="1"/>
    <col min="6398" max="6398" width="13.23046875" style="4" bestFit="1" customWidth="1"/>
    <col min="6399" max="6399" width="12.23046875" style="4" bestFit="1" customWidth="1"/>
    <col min="6400" max="6400" width="24.23046875" style="4" bestFit="1" customWidth="1"/>
    <col min="6401" max="6401" width="10.23046875" style="4"/>
    <col min="6402" max="6402" width="14" style="4" customWidth="1"/>
    <col min="6403" max="6403" width="12" style="4" bestFit="1" customWidth="1"/>
    <col min="6404" max="6404" width="11.53515625" style="4" bestFit="1" customWidth="1"/>
    <col min="6405" max="6405" width="25.765625" style="4" customWidth="1"/>
    <col min="6406" max="6651" width="10.23046875" style="4"/>
    <col min="6652" max="6652" width="18" style="4" customWidth="1"/>
    <col min="6653" max="6653" width="29" style="4" bestFit="1" customWidth="1"/>
    <col min="6654" max="6654" width="13.23046875" style="4" bestFit="1" customWidth="1"/>
    <col min="6655" max="6655" width="12.23046875" style="4" bestFit="1" customWidth="1"/>
    <col min="6656" max="6656" width="24.23046875" style="4" bestFit="1" customWidth="1"/>
    <col min="6657" max="6657" width="10.23046875" style="4"/>
    <col min="6658" max="6658" width="14" style="4" customWidth="1"/>
    <col min="6659" max="6659" width="12" style="4" bestFit="1" customWidth="1"/>
    <col min="6660" max="6660" width="11.53515625" style="4" bestFit="1" customWidth="1"/>
    <col min="6661" max="6661" width="25.765625" style="4" customWidth="1"/>
    <col min="6662" max="6907" width="10.23046875" style="4"/>
    <col min="6908" max="6908" width="18" style="4" customWidth="1"/>
    <col min="6909" max="6909" width="29" style="4" bestFit="1" customWidth="1"/>
    <col min="6910" max="6910" width="13.23046875" style="4" bestFit="1" customWidth="1"/>
    <col min="6911" max="6911" width="12.23046875" style="4" bestFit="1" customWidth="1"/>
    <col min="6912" max="6912" width="24.23046875" style="4" bestFit="1" customWidth="1"/>
    <col min="6913" max="6913" width="10.23046875" style="4"/>
    <col min="6914" max="6914" width="14" style="4" customWidth="1"/>
    <col min="6915" max="6915" width="12" style="4" bestFit="1" customWidth="1"/>
    <col min="6916" max="6916" width="11.53515625" style="4" bestFit="1" customWidth="1"/>
    <col min="6917" max="6917" width="25.765625" style="4" customWidth="1"/>
    <col min="6918" max="7163" width="10.23046875" style="4"/>
    <col min="7164" max="7164" width="18" style="4" customWidth="1"/>
    <col min="7165" max="7165" width="29" style="4" bestFit="1" customWidth="1"/>
    <col min="7166" max="7166" width="13.23046875" style="4" bestFit="1" customWidth="1"/>
    <col min="7167" max="7167" width="12.23046875" style="4" bestFit="1" customWidth="1"/>
    <col min="7168" max="7168" width="24.23046875" style="4" bestFit="1" customWidth="1"/>
    <col min="7169" max="7169" width="10.23046875" style="4"/>
    <col min="7170" max="7170" width="14" style="4" customWidth="1"/>
    <col min="7171" max="7171" width="12" style="4" bestFit="1" customWidth="1"/>
    <col min="7172" max="7172" width="11.53515625" style="4" bestFit="1" customWidth="1"/>
    <col min="7173" max="7173" width="25.765625" style="4" customWidth="1"/>
    <col min="7174" max="7419" width="10.23046875" style="4"/>
    <col min="7420" max="7420" width="18" style="4" customWidth="1"/>
    <col min="7421" max="7421" width="29" style="4" bestFit="1" customWidth="1"/>
    <col min="7422" max="7422" width="13.23046875" style="4" bestFit="1" customWidth="1"/>
    <col min="7423" max="7423" width="12.23046875" style="4" bestFit="1" customWidth="1"/>
    <col min="7424" max="7424" width="24.23046875" style="4" bestFit="1" customWidth="1"/>
    <col min="7425" max="7425" width="10.23046875" style="4"/>
    <col min="7426" max="7426" width="14" style="4" customWidth="1"/>
    <col min="7427" max="7427" width="12" style="4" bestFit="1" customWidth="1"/>
    <col min="7428" max="7428" width="11.53515625" style="4" bestFit="1" customWidth="1"/>
    <col min="7429" max="7429" width="25.765625" style="4" customWidth="1"/>
    <col min="7430" max="7675" width="10.23046875" style="4"/>
    <col min="7676" max="7676" width="18" style="4" customWidth="1"/>
    <col min="7677" max="7677" width="29" style="4" bestFit="1" customWidth="1"/>
    <col min="7678" max="7678" width="13.23046875" style="4" bestFit="1" customWidth="1"/>
    <col min="7679" max="7679" width="12.23046875" style="4" bestFit="1" customWidth="1"/>
    <col min="7680" max="7680" width="24.23046875" style="4" bestFit="1" customWidth="1"/>
    <col min="7681" max="7681" width="10.23046875" style="4"/>
    <col min="7682" max="7682" width="14" style="4" customWidth="1"/>
    <col min="7683" max="7683" width="12" style="4" bestFit="1" customWidth="1"/>
    <col min="7684" max="7684" width="11.53515625" style="4" bestFit="1" customWidth="1"/>
    <col min="7685" max="7685" width="25.765625" style="4" customWidth="1"/>
    <col min="7686" max="7931" width="10.23046875" style="4"/>
    <col min="7932" max="7932" width="18" style="4" customWidth="1"/>
    <col min="7933" max="7933" width="29" style="4" bestFit="1" customWidth="1"/>
    <col min="7934" max="7934" width="13.23046875" style="4" bestFit="1" customWidth="1"/>
    <col min="7935" max="7935" width="12.23046875" style="4" bestFit="1" customWidth="1"/>
    <col min="7936" max="7936" width="24.23046875" style="4" bestFit="1" customWidth="1"/>
    <col min="7937" max="7937" width="10.23046875" style="4"/>
    <col min="7938" max="7938" width="14" style="4" customWidth="1"/>
    <col min="7939" max="7939" width="12" style="4" bestFit="1" customWidth="1"/>
    <col min="7940" max="7940" width="11.53515625" style="4" bestFit="1" customWidth="1"/>
    <col min="7941" max="7941" width="25.765625" style="4" customWidth="1"/>
    <col min="7942" max="8187" width="10.23046875" style="4"/>
    <col min="8188" max="8188" width="18" style="4" customWidth="1"/>
    <col min="8189" max="8189" width="29" style="4" bestFit="1" customWidth="1"/>
    <col min="8190" max="8190" width="13.23046875" style="4" bestFit="1" customWidth="1"/>
    <col min="8191" max="8191" width="12.23046875" style="4" bestFit="1" customWidth="1"/>
    <col min="8192" max="8192" width="24.23046875" style="4" bestFit="1" customWidth="1"/>
    <col min="8193" max="8193" width="10.23046875" style="4"/>
    <col min="8194" max="8194" width="14" style="4" customWidth="1"/>
    <col min="8195" max="8195" width="12" style="4" bestFit="1" customWidth="1"/>
    <col min="8196" max="8196" width="11.53515625" style="4" bestFit="1" customWidth="1"/>
    <col min="8197" max="8197" width="25.765625" style="4" customWidth="1"/>
    <col min="8198" max="8443" width="10.23046875" style="4"/>
    <col min="8444" max="8444" width="18" style="4" customWidth="1"/>
    <col min="8445" max="8445" width="29" style="4" bestFit="1" customWidth="1"/>
    <col min="8446" max="8446" width="13.23046875" style="4" bestFit="1" customWidth="1"/>
    <col min="8447" max="8447" width="12.23046875" style="4" bestFit="1" customWidth="1"/>
    <col min="8448" max="8448" width="24.23046875" style="4" bestFit="1" customWidth="1"/>
    <col min="8449" max="8449" width="10.23046875" style="4"/>
    <col min="8450" max="8450" width="14" style="4" customWidth="1"/>
    <col min="8451" max="8451" width="12" style="4" bestFit="1" customWidth="1"/>
    <col min="8452" max="8452" width="11.53515625" style="4" bestFit="1" customWidth="1"/>
    <col min="8453" max="8453" width="25.765625" style="4" customWidth="1"/>
    <col min="8454" max="8699" width="10.23046875" style="4"/>
    <col min="8700" max="8700" width="18" style="4" customWidth="1"/>
    <col min="8701" max="8701" width="29" style="4" bestFit="1" customWidth="1"/>
    <col min="8702" max="8702" width="13.23046875" style="4" bestFit="1" customWidth="1"/>
    <col min="8703" max="8703" width="12.23046875" style="4" bestFit="1" customWidth="1"/>
    <col min="8704" max="8704" width="24.23046875" style="4" bestFit="1" customWidth="1"/>
    <col min="8705" max="8705" width="10.23046875" style="4"/>
    <col min="8706" max="8706" width="14" style="4" customWidth="1"/>
    <col min="8707" max="8707" width="12" style="4" bestFit="1" customWidth="1"/>
    <col min="8708" max="8708" width="11.53515625" style="4" bestFit="1" customWidth="1"/>
    <col min="8709" max="8709" width="25.765625" style="4" customWidth="1"/>
    <col min="8710" max="8955" width="10.23046875" style="4"/>
    <col min="8956" max="8956" width="18" style="4" customWidth="1"/>
    <col min="8957" max="8957" width="29" style="4" bestFit="1" customWidth="1"/>
    <col min="8958" max="8958" width="13.23046875" style="4" bestFit="1" customWidth="1"/>
    <col min="8959" max="8959" width="12.23046875" style="4" bestFit="1" customWidth="1"/>
    <col min="8960" max="8960" width="24.23046875" style="4" bestFit="1" customWidth="1"/>
    <col min="8961" max="8961" width="10.23046875" style="4"/>
    <col min="8962" max="8962" width="14" style="4" customWidth="1"/>
    <col min="8963" max="8963" width="12" style="4" bestFit="1" customWidth="1"/>
    <col min="8964" max="8964" width="11.53515625" style="4" bestFit="1" customWidth="1"/>
    <col min="8965" max="8965" width="25.765625" style="4" customWidth="1"/>
    <col min="8966" max="9211" width="10.23046875" style="4"/>
    <col min="9212" max="9212" width="18" style="4" customWidth="1"/>
    <col min="9213" max="9213" width="29" style="4" bestFit="1" customWidth="1"/>
    <col min="9214" max="9214" width="13.23046875" style="4" bestFit="1" customWidth="1"/>
    <col min="9215" max="9215" width="12.23046875" style="4" bestFit="1" customWidth="1"/>
    <col min="9216" max="9216" width="24.23046875" style="4" bestFit="1" customWidth="1"/>
    <col min="9217" max="9217" width="10.23046875" style="4"/>
    <col min="9218" max="9218" width="14" style="4" customWidth="1"/>
    <col min="9219" max="9219" width="12" style="4" bestFit="1" customWidth="1"/>
    <col min="9220" max="9220" width="11.53515625" style="4" bestFit="1" customWidth="1"/>
    <col min="9221" max="9221" width="25.765625" style="4" customWidth="1"/>
    <col min="9222" max="9467" width="10.23046875" style="4"/>
    <col min="9468" max="9468" width="18" style="4" customWidth="1"/>
    <col min="9469" max="9469" width="29" style="4" bestFit="1" customWidth="1"/>
    <col min="9470" max="9470" width="13.23046875" style="4" bestFit="1" customWidth="1"/>
    <col min="9471" max="9471" width="12.23046875" style="4" bestFit="1" customWidth="1"/>
    <col min="9472" max="9472" width="24.23046875" style="4" bestFit="1" customWidth="1"/>
    <col min="9473" max="9473" width="10.23046875" style="4"/>
    <col min="9474" max="9474" width="14" style="4" customWidth="1"/>
    <col min="9475" max="9475" width="12" style="4" bestFit="1" customWidth="1"/>
    <col min="9476" max="9476" width="11.53515625" style="4" bestFit="1" customWidth="1"/>
    <col min="9477" max="9477" width="25.765625" style="4" customWidth="1"/>
    <col min="9478" max="9723" width="10.23046875" style="4"/>
    <col min="9724" max="9724" width="18" style="4" customWidth="1"/>
    <col min="9725" max="9725" width="29" style="4" bestFit="1" customWidth="1"/>
    <col min="9726" max="9726" width="13.23046875" style="4" bestFit="1" customWidth="1"/>
    <col min="9727" max="9727" width="12.23046875" style="4" bestFit="1" customWidth="1"/>
    <col min="9728" max="9728" width="24.23046875" style="4" bestFit="1" customWidth="1"/>
    <col min="9729" max="9729" width="10.23046875" style="4"/>
    <col min="9730" max="9730" width="14" style="4" customWidth="1"/>
    <col min="9731" max="9731" width="12" style="4" bestFit="1" customWidth="1"/>
    <col min="9732" max="9732" width="11.53515625" style="4" bestFit="1" customWidth="1"/>
    <col min="9733" max="9733" width="25.765625" style="4" customWidth="1"/>
    <col min="9734" max="9979" width="10.23046875" style="4"/>
    <col min="9980" max="9980" width="18" style="4" customWidth="1"/>
    <col min="9981" max="9981" width="29" style="4" bestFit="1" customWidth="1"/>
    <col min="9982" max="9982" width="13.23046875" style="4" bestFit="1" customWidth="1"/>
    <col min="9983" max="9983" width="12.23046875" style="4" bestFit="1" customWidth="1"/>
    <col min="9984" max="9984" width="24.23046875" style="4" bestFit="1" customWidth="1"/>
    <col min="9985" max="9985" width="10.23046875" style="4"/>
    <col min="9986" max="9986" width="14" style="4" customWidth="1"/>
    <col min="9987" max="9987" width="12" style="4" bestFit="1" customWidth="1"/>
    <col min="9988" max="9988" width="11.53515625" style="4" bestFit="1" customWidth="1"/>
    <col min="9989" max="9989" width="25.765625" style="4" customWidth="1"/>
    <col min="9990" max="10235" width="10.23046875" style="4"/>
    <col min="10236" max="10236" width="18" style="4" customWidth="1"/>
    <col min="10237" max="10237" width="29" style="4" bestFit="1" customWidth="1"/>
    <col min="10238" max="10238" width="13.23046875" style="4" bestFit="1" customWidth="1"/>
    <col min="10239" max="10239" width="12.23046875" style="4" bestFit="1" customWidth="1"/>
    <col min="10240" max="10240" width="24.23046875" style="4" bestFit="1" customWidth="1"/>
    <col min="10241" max="10241" width="10.23046875" style="4"/>
    <col min="10242" max="10242" width="14" style="4" customWidth="1"/>
    <col min="10243" max="10243" width="12" style="4" bestFit="1" customWidth="1"/>
    <col min="10244" max="10244" width="11.53515625" style="4" bestFit="1" customWidth="1"/>
    <col min="10245" max="10245" width="25.765625" style="4" customWidth="1"/>
    <col min="10246" max="10491" width="10.23046875" style="4"/>
    <col min="10492" max="10492" width="18" style="4" customWidth="1"/>
    <col min="10493" max="10493" width="29" style="4" bestFit="1" customWidth="1"/>
    <col min="10494" max="10494" width="13.23046875" style="4" bestFit="1" customWidth="1"/>
    <col min="10495" max="10495" width="12.23046875" style="4" bestFit="1" customWidth="1"/>
    <col min="10496" max="10496" width="24.23046875" style="4" bestFit="1" customWidth="1"/>
    <col min="10497" max="10497" width="10.23046875" style="4"/>
    <col min="10498" max="10498" width="14" style="4" customWidth="1"/>
    <col min="10499" max="10499" width="12" style="4" bestFit="1" customWidth="1"/>
    <col min="10500" max="10500" width="11.53515625" style="4" bestFit="1" customWidth="1"/>
    <col min="10501" max="10501" width="25.765625" style="4" customWidth="1"/>
    <col min="10502" max="10747" width="10.23046875" style="4"/>
    <col min="10748" max="10748" width="18" style="4" customWidth="1"/>
    <col min="10749" max="10749" width="29" style="4" bestFit="1" customWidth="1"/>
    <col min="10750" max="10750" width="13.23046875" style="4" bestFit="1" customWidth="1"/>
    <col min="10751" max="10751" width="12.23046875" style="4" bestFit="1" customWidth="1"/>
    <col min="10752" max="10752" width="24.23046875" style="4" bestFit="1" customWidth="1"/>
    <col min="10753" max="10753" width="10.23046875" style="4"/>
    <col min="10754" max="10754" width="14" style="4" customWidth="1"/>
    <col min="10755" max="10755" width="12" style="4" bestFit="1" customWidth="1"/>
    <col min="10756" max="10756" width="11.53515625" style="4" bestFit="1" customWidth="1"/>
    <col min="10757" max="10757" width="25.765625" style="4" customWidth="1"/>
    <col min="10758" max="11003" width="10.23046875" style="4"/>
    <col min="11004" max="11004" width="18" style="4" customWidth="1"/>
    <col min="11005" max="11005" width="29" style="4" bestFit="1" customWidth="1"/>
    <col min="11006" max="11006" width="13.23046875" style="4" bestFit="1" customWidth="1"/>
    <col min="11007" max="11007" width="12.23046875" style="4" bestFit="1" customWidth="1"/>
    <col min="11008" max="11008" width="24.23046875" style="4" bestFit="1" customWidth="1"/>
    <col min="11009" max="11009" width="10.23046875" style="4"/>
    <col min="11010" max="11010" width="14" style="4" customWidth="1"/>
    <col min="11011" max="11011" width="12" style="4" bestFit="1" customWidth="1"/>
    <col min="11012" max="11012" width="11.53515625" style="4" bestFit="1" customWidth="1"/>
    <col min="11013" max="11013" width="25.765625" style="4" customWidth="1"/>
    <col min="11014" max="11259" width="10.23046875" style="4"/>
    <col min="11260" max="11260" width="18" style="4" customWidth="1"/>
    <col min="11261" max="11261" width="29" style="4" bestFit="1" customWidth="1"/>
    <col min="11262" max="11262" width="13.23046875" style="4" bestFit="1" customWidth="1"/>
    <col min="11263" max="11263" width="12.23046875" style="4" bestFit="1" customWidth="1"/>
    <col min="11264" max="11264" width="24.23046875" style="4" bestFit="1" customWidth="1"/>
    <col min="11265" max="11265" width="10.23046875" style="4"/>
    <col min="11266" max="11266" width="14" style="4" customWidth="1"/>
    <col min="11267" max="11267" width="12" style="4" bestFit="1" customWidth="1"/>
    <col min="11268" max="11268" width="11.53515625" style="4" bestFit="1" customWidth="1"/>
    <col min="11269" max="11269" width="25.765625" style="4" customWidth="1"/>
    <col min="11270" max="11515" width="10.23046875" style="4"/>
    <col min="11516" max="11516" width="18" style="4" customWidth="1"/>
    <col min="11517" max="11517" width="29" style="4" bestFit="1" customWidth="1"/>
    <col min="11518" max="11518" width="13.23046875" style="4" bestFit="1" customWidth="1"/>
    <col min="11519" max="11519" width="12.23046875" style="4" bestFit="1" customWidth="1"/>
    <col min="11520" max="11520" width="24.23046875" style="4" bestFit="1" customWidth="1"/>
    <col min="11521" max="11521" width="10.23046875" style="4"/>
    <col min="11522" max="11522" width="14" style="4" customWidth="1"/>
    <col min="11523" max="11523" width="12" style="4" bestFit="1" customWidth="1"/>
    <col min="11524" max="11524" width="11.53515625" style="4" bestFit="1" customWidth="1"/>
    <col min="11525" max="11525" width="25.765625" style="4" customWidth="1"/>
    <col min="11526" max="11771" width="10.23046875" style="4"/>
    <col min="11772" max="11772" width="18" style="4" customWidth="1"/>
    <col min="11773" max="11773" width="29" style="4" bestFit="1" customWidth="1"/>
    <col min="11774" max="11774" width="13.23046875" style="4" bestFit="1" customWidth="1"/>
    <col min="11775" max="11775" width="12.23046875" style="4" bestFit="1" customWidth="1"/>
    <col min="11776" max="11776" width="24.23046875" style="4" bestFit="1" customWidth="1"/>
    <col min="11777" max="11777" width="10.23046875" style="4"/>
    <col min="11778" max="11778" width="14" style="4" customWidth="1"/>
    <col min="11779" max="11779" width="12" style="4" bestFit="1" customWidth="1"/>
    <col min="11780" max="11780" width="11.53515625" style="4" bestFit="1" customWidth="1"/>
    <col min="11781" max="11781" width="25.765625" style="4" customWidth="1"/>
    <col min="11782" max="12027" width="10.23046875" style="4"/>
    <col min="12028" max="12028" width="18" style="4" customWidth="1"/>
    <col min="12029" max="12029" width="29" style="4" bestFit="1" customWidth="1"/>
    <col min="12030" max="12030" width="13.23046875" style="4" bestFit="1" customWidth="1"/>
    <col min="12031" max="12031" width="12.23046875" style="4" bestFit="1" customWidth="1"/>
    <col min="12032" max="12032" width="24.23046875" style="4" bestFit="1" customWidth="1"/>
    <col min="12033" max="12033" width="10.23046875" style="4"/>
    <col min="12034" max="12034" width="14" style="4" customWidth="1"/>
    <col min="12035" max="12035" width="12" style="4" bestFit="1" customWidth="1"/>
    <col min="12036" max="12036" width="11.53515625" style="4" bestFit="1" customWidth="1"/>
    <col min="12037" max="12037" width="25.765625" style="4" customWidth="1"/>
    <col min="12038" max="12283" width="10.23046875" style="4"/>
    <col min="12284" max="12284" width="18" style="4" customWidth="1"/>
    <col min="12285" max="12285" width="29" style="4" bestFit="1" customWidth="1"/>
    <col min="12286" max="12286" width="13.23046875" style="4" bestFit="1" customWidth="1"/>
    <col min="12287" max="12287" width="12.23046875" style="4" bestFit="1" customWidth="1"/>
    <col min="12288" max="12288" width="24.23046875" style="4" bestFit="1" customWidth="1"/>
    <col min="12289" max="12289" width="10.23046875" style="4"/>
    <col min="12290" max="12290" width="14" style="4" customWidth="1"/>
    <col min="12291" max="12291" width="12" style="4" bestFit="1" customWidth="1"/>
    <col min="12292" max="12292" width="11.53515625" style="4" bestFit="1" customWidth="1"/>
    <col min="12293" max="12293" width="25.765625" style="4" customWidth="1"/>
    <col min="12294" max="12539" width="10.23046875" style="4"/>
    <col min="12540" max="12540" width="18" style="4" customWidth="1"/>
    <col min="12541" max="12541" width="29" style="4" bestFit="1" customWidth="1"/>
    <col min="12542" max="12542" width="13.23046875" style="4" bestFit="1" customWidth="1"/>
    <col min="12543" max="12543" width="12.23046875" style="4" bestFit="1" customWidth="1"/>
    <col min="12544" max="12544" width="24.23046875" style="4" bestFit="1" customWidth="1"/>
    <col min="12545" max="12545" width="10.23046875" style="4"/>
    <col min="12546" max="12546" width="14" style="4" customWidth="1"/>
    <col min="12547" max="12547" width="12" style="4" bestFit="1" customWidth="1"/>
    <col min="12548" max="12548" width="11.53515625" style="4" bestFit="1" customWidth="1"/>
    <col min="12549" max="12549" width="25.765625" style="4" customWidth="1"/>
    <col min="12550" max="12795" width="10.23046875" style="4"/>
    <col min="12796" max="12796" width="18" style="4" customWidth="1"/>
    <col min="12797" max="12797" width="29" style="4" bestFit="1" customWidth="1"/>
    <col min="12798" max="12798" width="13.23046875" style="4" bestFit="1" customWidth="1"/>
    <col min="12799" max="12799" width="12.23046875" style="4" bestFit="1" customWidth="1"/>
    <col min="12800" max="12800" width="24.23046875" style="4" bestFit="1" customWidth="1"/>
    <col min="12801" max="12801" width="10.23046875" style="4"/>
    <col min="12802" max="12802" width="14" style="4" customWidth="1"/>
    <col min="12803" max="12803" width="12" style="4" bestFit="1" customWidth="1"/>
    <col min="12804" max="12804" width="11.53515625" style="4" bestFit="1" customWidth="1"/>
    <col min="12805" max="12805" width="25.765625" style="4" customWidth="1"/>
    <col min="12806" max="13051" width="10.23046875" style="4"/>
    <col min="13052" max="13052" width="18" style="4" customWidth="1"/>
    <col min="13053" max="13053" width="29" style="4" bestFit="1" customWidth="1"/>
    <col min="13054" max="13054" width="13.23046875" style="4" bestFit="1" customWidth="1"/>
    <col min="13055" max="13055" width="12.23046875" style="4" bestFit="1" customWidth="1"/>
    <col min="13056" max="13056" width="24.23046875" style="4" bestFit="1" customWidth="1"/>
    <col min="13057" max="13057" width="10.23046875" style="4"/>
    <col min="13058" max="13058" width="14" style="4" customWidth="1"/>
    <col min="13059" max="13059" width="12" style="4" bestFit="1" customWidth="1"/>
    <col min="13060" max="13060" width="11.53515625" style="4" bestFit="1" customWidth="1"/>
    <col min="13061" max="13061" width="25.765625" style="4" customWidth="1"/>
    <col min="13062" max="13307" width="10.23046875" style="4"/>
    <col min="13308" max="13308" width="18" style="4" customWidth="1"/>
    <col min="13309" max="13309" width="29" style="4" bestFit="1" customWidth="1"/>
    <col min="13310" max="13310" width="13.23046875" style="4" bestFit="1" customWidth="1"/>
    <col min="13311" max="13311" width="12.23046875" style="4" bestFit="1" customWidth="1"/>
    <col min="13312" max="13312" width="24.23046875" style="4" bestFit="1" customWidth="1"/>
    <col min="13313" max="13313" width="10.23046875" style="4"/>
    <col min="13314" max="13314" width="14" style="4" customWidth="1"/>
    <col min="13315" max="13315" width="12" style="4" bestFit="1" customWidth="1"/>
    <col min="13316" max="13316" width="11.53515625" style="4" bestFit="1" customWidth="1"/>
    <col min="13317" max="13317" width="25.765625" style="4" customWidth="1"/>
    <col min="13318" max="13563" width="10.23046875" style="4"/>
    <col min="13564" max="13564" width="18" style="4" customWidth="1"/>
    <col min="13565" max="13565" width="29" style="4" bestFit="1" customWidth="1"/>
    <col min="13566" max="13566" width="13.23046875" style="4" bestFit="1" customWidth="1"/>
    <col min="13567" max="13567" width="12.23046875" style="4" bestFit="1" customWidth="1"/>
    <col min="13568" max="13568" width="24.23046875" style="4" bestFit="1" customWidth="1"/>
    <col min="13569" max="13569" width="10.23046875" style="4"/>
    <col min="13570" max="13570" width="14" style="4" customWidth="1"/>
    <col min="13571" max="13571" width="12" style="4" bestFit="1" customWidth="1"/>
    <col min="13572" max="13572" width="11.53515625" style="4" bestFit="1" customWidth="1"/>
    <col min="13573" max="13573" width="25.765625" style="4" customWidth="1"/>
    <col min="13574" max="13819" width="10.23046875" style="4"/>
    <col min="13820" max="13820" width="18" style="4" customWidth="1"/>
    <col min="13821" max="13821" width="29" style="4" bestFit="1" customWidth="1"/>
    <col min="13822" max="13822" width="13.23046875" style="4" bestFit="1" customWidth="1"/>
    <col min="13823" max="13823" width="12.23046875" style="4" bestFit="1" customWidth="1"/>
    <col min="13824" max="13824" width="24.23046875" style="4" bestFit="1" customWidth="1"/>
    <col min="13825" max="13825" width="10.23046875" style="4"/>
    <col min="13826" max="13826" width="14" style="4" customWidth="1"/>
    <col min="13827" max="13827" width="12" style="4" bestFit="1" customWidth="1"/>
    <col min="13828" max="13828" width="11.53515625" style="4" bestFit="1" customWidth="1"/>
    <col min="13829" max="13829" width="25.765625" style="4" customWidth="1"/>
    <col min="13830" max="14075" width="10.23046875" style="4"/>
    <col min="14076" max="14076" width="18" style="4" customWidth="1"/>
    <col min="14077" max="14077" width="29" style="4" bestFit="1" customWidth="1"/>
    <col min="14078" max="14078" width="13.23046875" style="4" bestFit="1" customWidth="1"/>
    <col min="14079" max="14079" width="12.23046875" style="4" bestFit="1" customWidth="1"/>
    <col min="14080" max="14080" width="24.23046875" style="4" bestFit="1" customWidth="1"/>
    <col min="14081" max="14081" width="10.23046875" style="4"/>
    <col min="14082" max="14082" width="14" style="4" customWidth="1"/>
    <col min="14083" max="14083" width="12" style="4" bestFit="1" customWidth="1"/>
    <col min="14084" max="14084" width="11.53515625" style="4" bestFit="1" customWidth="1"/>
    <col min="14085" max="14085" width="25.765625" style="4" customWidth="1"/>
    <col min="14086" max="14331" width="10.23046875" style="4"/>
    <col min="14332" max="14332" width="18" style="4" customWidth="1"/>
    <col min="14333" max="14333" width="29" style="4" bestFit="1" customWidth="1"/>
    <col min="14334" max="14334" width="13.23046875" style="4" bestFit="1" customWidth="1"/>
    <col min="14335" max="14335" width="12.23046875" style="4" bestFit="1" customWidth="1"/>
    <col min="14336" max="14336" width="24.23046875" style="4" bestFit="1" customWidth="1"/>
    <col min="14337" max="14337" width="10.23046875" style="4"/>
    <col min="14338" max="14338" width="14" style="4" customWidth="1"/>
    <col min="14339" max="14339" width="12" style="4" bestFit="1" customWidth="1"/>
    <col min="14340" max="14340" width="11.53515625" style="4" bestFit="1" customWidth="1"/>
    <col min="14341" max="14341" width="25.765625" style="4" customWidth="1"/>
    <col min="14342" max="14587" width="10.23046875" style="4"/>
    <col min="14588" max="14588" width="18" style="4" customWidth="1"/>
    <col min="14589" max="14589" width="29" style="4" bestFit="1" customWidth="1"/>
    <col min="14590" max="14590" width="13.23046875" style="4" bestFit="1" customWidth="1"/>
    <col min="14591" max="14591" width="12.23046875" style="4" bestFit="1" customWidth="1"/>
    <col min="14592" max="14592" width="24.23046875" style="4" bestFit="1" customWidth="1"/>
    <col min="14593" max="14593" width="10.23046875" style="4"/>
    <col min="14594" max="14594" width="14" style="4" customWidth="1"/>
    <col min="14595" max="14595" width="12" style="4" bestFit="1" customWidth="1"/>
    <col min="14596" max="14596" width="11.53515625" style="4" bestFit="1" customWidth="1"/>
    <col min="14597" max="14597" width="25.765625" style="4" customWidth="1"/>
    <col min="14598" max="14843" width="10.23046875" style="4"/>
    <col min="14844" max="14844" width="18" style="4" customWidth="1"/>
    <col min="14845" max="14845" width="29" style="4" bestFit="1" customWidth="1"/>
    <col min="14846" max="14846" width="13.23046875" style="4" bestFit="1" customWidth="1"/>
    <col min="14847" max="14847" width="12.23046875" style="4" bestFit="1" customWidth="1"/>
    <col min="14848" max="14848" width="24.23046875" style="4" bestFit="1" customWidth="1"/>
    <col min="14849" max="14849" width="10.23046875" style="4"/>
    <col min="14850" max="14850" width="14" style="4" customWidth="1"/>
    <col min="14851" max="14851" width="12" style="4" bestFit="1" customWidth="1"/>
    <col min="14852" max="14852" width="11.53515625" style="4" bestFit="1" customWidth="1"/>
    <col min="14853" max="14853" width="25.765625" style="4" customWidth="1"/>
    <col min="14854" max="15099" width="10.23046875" style="4"/>
    <col min="15100" max="15100" width="18" style="4" customWidth="1"/>
    <col min="15101" max="15101" width="29" style="4" bestFit="1" customWidth="1"/>
    <col min="15102" max="15102" width="13.23046875" style="4" bestFit="1" customWidth="1"/>
    <col min="15103" max="15103" width="12.23046875" style="4" bestFit="1" customWidth="1"/>
    <col min="15104" max="15104" width="24.23046875" style="4" bestFit="1" customWidth="1"/>
    <col min="15105" max="15105" width="10.23046875" style="4"/>
    <col min="15106" max="15106" width="14" style="4" customWidth="1"/>
    <col min="15107" max="15107" width="12" style="4" bestFit="1" customWidth="1"/>
    <col min="15108" max="15108" width="11.53515625" style="4" bestFit="1" customWidth="1"/>
    <col min="15109" max="15109" width="25.765625" style="4" customWidth="1"/>
    <col min="15110" max="15355" width="10.23046875" style="4"/>
    <col min="15356" max="15356" width="18" style="4" customWidth="1"/>
    <col min="15357" max="15357" width="29" style="4" bestFit="1" customWidth="1"/>
    <col min="15358" max="15358" width="13.23046875" style="4" bestFit="1" customWidth="1"/>
    <col min="15359" max="15359" width="12.23046875" style="4" bestFit="1" customWidth="1"/>
    <col min="15360" max="15360" width="24.23046875" style="4" bestFit="1" customWidth="1"/>
    <col min="15361" max="15361" width="10.23046875" style="4"/>
    <col min="15362" max="15362" width="14" style="4" customWidth="1"/>
    <col min="15363" max="15363" width="12" style="4" bestFit="1" customWidth="1"/>
    <col min="15364" max="15364" width="11.53515625" style="4" bestFit="1" customWidth="1"/>
    <col min="15365" max="15365" width="25.765625" style="4" customWidth="1"/>
    <col min="15366" max="15611" width="10.23046875" style="4"/>
    <col min="15612" max="15612" width="18" style="4" customWidth="1"/>
    <col min="15613" max="15613" width="29" style="4" bestFit="1" customWidth="1"/>
    <col min="15614" max="15614" width="13.23046875" style="4" bestFit="1" customWidth="1"/>
    <col min="15615" max="15615" width="12.23046875" style="4" bestFit="1" customWidth="1"/>
    <col min="15616" max="15616" width="24.23046875" style="4" bestFit="1" customWidth="1"/>
    <col min="15617" max="15617" width="10.23046875" style="4"/>
    <col min="15618" max="15618" width="14" style="4" customWidth="1"/>
    <col min="15619" max="15619" width="12" style="4" bestFit="1" customWidth="1"/>
    <col min="15620" max="15620" width="11.53515625" style="4" bestFit="1" customWidth="1"/>
    <col min="15621" max="15621" width="25.765625" style="4" customWidth="1"/>
    <col min="15622" max="15867" width="10.23046875" style="4"/>
    <col min="15868" max="15868" width="18" style="4" customWidth="1"/>
    <col min="15869" max="15869" width="29" style="4" bestFit="1" customWidth="1"/>
    <col min="15870" max="15870" width="13.23046875" style="4" bestFit="1" customWidth="1"/>
    <col min="15871" max="15871" width="12.23046875" style="4" bestFit="1" customWidth="1"/>
    <col min="15872" max="15872" width="24.23046875" style="4" bestFit="1" customWidth="1"/>
    <col min="15873" max="15873" width="10.23046875" style="4"/>
    <col min="15874" max="15874" width="14" style="4" customWidth="1"/>
    <col min="15875" max="15875" width="12" style="4" bestFit="1" customWidth="1"/>
    <col min="15876" max="15876" width="11.53515625" style="4" bestFit="1" customWidth="1"/>
    <col min="15877" max="15877" width="25.765625" style="4" customWidth="1"/>
    <col min="15878" max="16123" width="10.23046875" style="4"/>
    <col min="16124" max="16124" width="18" style="4" customWidth="1"/>
    <col min="16125" max="16125" width="29" style="4" bestFit="1" customWidth="1"/>
    <col min="16126" max="16126" width="13.23046875" style="4" bestFit="1" customWidth="1"/>
    <col min="16127" max="16127" width="12.23046875" style="4" bestFit="1" customWidth="1"/>
    <col min="16128" max="16128" width="24.23046875" style="4" bestFit="1" customWidth="1"/>
    <col min="16129" max="16129" width="10.23046875" style="4"/>
    <col min="16130" max="16130" width="14" style="4" customWidth="1"/>
    <col min="16131" max="16131" width="12" style="4" bestFit="1" customWidth="1"/>
    <col min="16132" max="16132" width="11.53515625" style="4" bestFit="1" customWidth="1"/>
    <col min="16133" max="16133" width="25.765625" style="4" customWidth="1"/>
    <col min="16134" max="16384" width="10.23046875" style="4"/>
  </cols>
  <sheetData>
    <row r="1" spans="2:8" ht="15.45" thickBot="1" x14ac:dyDescent="0.4"/>
    <row r="2" spans="2:8" ht="19.75" x14ac:dyDescent="0.4">
      <c r="B2" s="163" t="s">
        <v>3</v>
      </c>
      <c r="C2" s="186" t="s">
        <v>499</v>
      </c>
      <c r="D2" s="80"/>
      <c r="E2" s="80"/>
      <c r="F2" s="80"/>
      <c r="G2" s="5"/>
    </row>
    <row r="3" spans="2:8" ht="20.149999999999999" thickBot="1" x14ac:dyDescent="0.4">
      <c r="B3" s="141" t="s">
        <v>472</v>
      </c>
      <c r="C3" s="142">
        <f>$G$9</f>
        <v>64540.54054054054</v>
      </c>
      <c r="D3" s="80"/>
      <c r="E3" s="80"/>
      <c r="F3" s="80"/>
      <c r="G3" s="6"/>
    </row>
    <row r="4" spans="2:8" ht="18.899999999999999" thickBot="1" x14ac:dyDescent="0.4">
      <c r="B4" s="80"/>
      <c r="C4" s="80"/>
      <c r="D4" s="80"/>
      <c r="E4" s="80"/>
      <c r="F4" s="80"/>
      <c r="G4" s="80"/>
    </row>
    <row r="5" spans="2:8" ht="18.45" customHeight="1" x14ac:dyDescent="0.35">
      <c r="B5" s="678" t="s">
        <v>65</v>
      </c>
      <c r="C5" s="641" t="s">
        <v>229</v>
      </c>
      <c r="D5" s="641" t="s">
        <v>1</v>
      </c>
      <c r="E5" s="641" t="s">
        <v>38</v>
      </c>
      <c r="F5" s="158" t="s">
        <v>12</v>
      </c>
      <c r="G5" s="641" t="s">
        <v>10</v>
      </c>
      <c r="H5" s="660"/>
    </row>
    <row r="6" spans="2:8" ht="19.75" x14ac:dyDescent="0.35">
      <c r="B6" s="679"/>
      <c r="C6" s="642"/>
      <c r="D6" s="642"/>
      <c r="E6" s="642"/>
      <c r="F6" s="161" t="s">
        <v>62</v>
      </c>
      <c r="G6" s="642"/>
      <c r="H6" s="661"/>
    </row>
    <row r="7" spans="2:8" ht="18.45" x14ac:dyDescent="0.35">
      <c r="B7" s="140">
        <v>1</v>
      </c>
      <c r="C7" s="108" t="s">
        <v>475</v>
      </c>
      <c r="D7" s="108">
        <v>12</v>
      </c>
      <c r="E7" s="108" t="s">
        <v>464</v>
      </c>
      <c r="F7" s="108">
        <v>5000000</v>
      </c>
      <c r="G7" s="108">
        <f>F7*D7/هزار</f>
        <v>60000</v>
      </c>
      <c r="H7" s="113"/>
    </row>
    <row r="8" spans="2:8" ht="18.45" x14ac:dyDescent="0.35">
      <c r="B8" s="140">
        <v>2</v>
      </c>
      <c r="C8" s="108" t="s">
        <v>463</v>
      </c>
      <c r="D8" s="108">
        <v>12</v>
      </c>
      <c r="E8" s="108" t="s">
        <v>464</v>
      </c>
      <c r="F8" s="108">
        <v>2000000</v>
      </c>
      <c r="G8" s="108">
        <f>F8*D8/هزار*'داده‌های ورودی'!$D$23</f>
        <v>4540.54054054054</v>
      </c>
      <c r="H8" s="385" t="s">
        <v>541</v>
      </c>
    </row>
    <row r="9" spans="2:8" ht="20.149999999999999" thickBot="1" x14ac:dyDescent="0.4">
      <c r="B9" s="823" t="s">
        <v>2</v>
      </c>
      <c r="C9" s="824"/>
      <c r="D9" s="824"/>
      <c r="E9" s="824"/>
      <c r="F9" s="824"/>
      <c r="G9" s="173">
        <f>SUM(G7:G8)</f>
        <v>64540.54054054054</v>
      </c>
      <c r="H9" s="386"/>
    </row>
  </sheetData>
  <mergeCells count="7">
    <mergeCell ref="B9:F9"/>
    <mergeCell ref="H5:H6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60CF-0D81-4C4B-A128-1EFC93C93334}">
  <sheetPr>
    <tabColor theme="9"/>
  </sheetPr>
  <dimension ref="B1:H10"/>
  <sheetViews>
    <sheetView rightToLeft="1" zoomScaleNormal="100" zoomScaleSheetLayoutView="115" workbookViewId="0">
      <selection activeCell="D20" sqref="D20"/>
    </sheetView>
  </sheetViews>
  <sheetFormatPr defaultColWidth="10.23046875" defaultRowHeight="15" x14ac:dyDescent="0.35"/>
  <cols>
    <col min="1" max="1" width="10.23046875" style="4"/>
    <col min="2" max="2" width="21" style="4" bestFit="1" customWidth="1"/>
    <col min="3" max="3" width="31.765625" style="4" bestFit="1" customWidth="1"/>
    <col min="4" max="4" width="16.53515625" style="4" bestFit="1" customWidth="1"/>
    <col min="5" max="5" width="18.23046875" style="4" bestFit="1" customWidth="1"/>
    <col min="6" max="6" width="14.765625" style="4" customWidth="1"/>
    <col min="7" max="7" width="16" style="4" customWidth="1"/>
    <col min="8" max="8" width="18.53515625" style="4" bestFit="1" customWidth="1"/>
    <col min="9" max="9" width="24.765625" style="4" customWidth="1"/>
    <col min="10" max="10" width="16.765625" style="4" bestFit="1" customWidth="1"/>
    <col min="11" max="11" width="10.23046875" style="4"/>
    <col min="12" max="12" width="22.23046875" style="4" bestFit="1" customWidth="1"/>
    <col min="13" max="255" width="10.23046875" style="4"/>
    <col min="256" max="256" width="18" style="4" customWidth="1"/>
    <col min="257" max="257" width="29" style="4" bestFit="1" customWidth="1"/>
    <col min="258" max="258" width="13.23046875" style="4" bestFit="1" customWidth="1"/>
    <col min="259" max="259" width="12.23046875" style="4" bestFit="1" customWidth="1"/>
    <col min="260" max="260" width="24.23046875" style="4" bestFit="1" customWidth="1"/>
    <col min="261" max="261" width="10.23046875" style="4"/>
    <col min="262" max="262" width="14" style="4" customWidth="1"/>
    <col min="263" max="263" width="12" style="4" bestFit="1" customWidth="1"/>
    <col min="264" max="264" width="11.53515625" style="4" bestFit="1" customWidth="1"/>
    <col min="265" max="265" width="25.765625" style="4" customWidth="1"/>
    <col min="266" max="511" width="10.23046875" style="4"/>
    <col min="512" max="512" width="18" style="4" customWidth="1"/>
    <col min="513" max="513" width="29" style="4" bestFit="1" customWidth="1"/>
    <col min="514" max="514" width="13.23046875" style="4" bestFit="1" customWidth="1"/>
    <col min="515" max="515" width="12.23046875" style="4" bestFit="1" customWidth="1"/>
    <col min="516" max="516" width="24.23046875" style="4" bestFit="1" customWidth="1"/>
    <col min="517" max="517" width="10.23046875" style="4"/>
    <col min="518" max="518" width="14" style="4" customWidth="1"/>
    <col min="519" max="519" width="12" style="4" bestFit="1" customWidth="1"/>
    <col min="520" max="520" width="11.53515625" style="4" bestFit="1" customWidth="1"/>
    <col min="521" max="521" width="25.765625" style="4" customWidth="1"/>
    <col min="522" max="767" width="10.23046875" style="4"/>
    <col min="768" max="768" width="18" style="4" customWidth="1"/>
    <col min="769" max="769" width="29" style="4" bestFit="1" customWidth="1"/>
    <col min="770" max="770" width="13.23046875" style="4" bestFit="1" customWidth="1"/>
    <col min="771" max="771" width="12.23046875" style="4" bestFit="1" customWidth="1"/>
    <col min="772" max="772" width="24.23046875" style="4" bestFit="1" customWidth="1"/>
    <col min="773" max="773" width="10.23046875" style="4"/>
    <col min="774" max="774" width="14" style="4" customWidth="1"/>
    <col min="775" max="775" width="12" style="4" bestFit="1" customWidth="1"/>
    <col min="776" max="776" width="11.53515625" style="4" bestFit="1" customWidth="1"/>
    <col min="777" max="777" width="25.765625" style="4" customWidth="1"/>
    <col min="778" max="1023" width="10.23046875" style="4"/>
    <col min="1024" max="1024" width="18" style="4" customWidth="1"/>
    <col min="1025" max="1025" width="29" style="4" bestFit="1" customWidth="1"/>
    <col min="1026" max="1026" width="13.23046875" style="4" bestFit="1" customWidth="1"/>
    <col min="1027" max="1027" width="12.23046875" style="4" bestFit="1" customWidth="1"/>
    <col min="1028" max="1028" width="24.23046875" style="4" bestFit="1" customWidth="1"/>
    <col min="1029" max="1029" width="10.23046875" style="4"/>
    <col min="1030" max="1030" width="14" style="4" customWidth="1"/>
    <col min="1031" max="1031" width="12" style="4" bestFit="1" customWidth="1"/>
    <col min="1032" max="1032" width="11.53515625" style="4" bestFit="1" customWidth="1"/>
    <col min="1033" max="1033" width="25.765625" style="4" customWidth="1"/>
    <col min="1034" max="1279" width="10.23046875" style="4"/>
    <col min="1280" max="1280" width="18" style="4" customWidth="1"/>
    <col min="1281" max="1281" width="29" style="4" bestFit="1" customWidth="1"/>
    <col min="1282" max="1282" width="13.23046875" style="4" bestFit="1" customWidth="1"/>
    <col min="1283" max="1283" width="12.23046875" style="4" bestFit="1" customWidth="1"/>
    <col min="1284" max="1284" width="24.23046875" style="4" bestFit="1" customWidth="1"/>
    <col min="1285" max="1285" width="10.23046875" style="4"/>
    <col min="1286" max="1286" width="14" style="4" customWidth="1"/>
    <col min="1287" max="1287" width="12" style="4" bestFit="1" customWidth="1"/>
    <col min="1288" max="1288" width="11.53515625" style="4" bestFit="1" customWidth="1"/>
    <col min="1289" max="1289" width="25.765625" style="4" customWidth="1"/>
    <col min="1290" max="1535" width="10.23046875" style="4"/>
    <col min="1536" max="1536" width="18" style="4" customWidth="1"/>
    <col min="1537" max="1537" width="29" style="4" bestFit="1" customWidth="1"/>
    <col min="1538" max="1538" width="13.23046875" style="4" bestFit="1" customWidth="1"/>
    <col min="1539" max="1539" width="12.23046875" style="4" bestFit="1" customWidth="1"/>
    <col min="1540" max="1540" width="24.23046875" style="4" bestFit="1" customWidth="1"/>
    <col min="1541" max="1541" width="10.23046875" style="4"/>
    <col min="1542" max="1542" width="14" style="4" customWidth="1"/>
    <col min="1543" max="1543" width="12" style="4" bestFit="1" customWidth="1"/>
    <col min="1544" max="1544" width="11.53515625" style="4" bestFit="1" customWidth="1"/>
    <col min="1545" max="1545" width="25.765625" style="4" customWidth="1"/>
    <col min="1546" max="1791" width="10.23046875" style="4"/>
    <col min="1792" max="1792" width="18" style="4" customWidth="1"/>
    <col min="1793" max="1793" width="29" style="4" bestFit="1" customWidth="1"/>
    <col min="1794" max="1794" width="13.23046875" style="4" bestFit="1" customWidth="1"/>
    <col min="1795" max="1795" width="12.23046875" style="4" bestFit="1" customWidth="1"/>
    <col min="1796" max="1796" width="24.23046875" style="4" bestFit="1" customWidth="1"/>
    <col min="1797" max="1797" width="10.23046875" style="4"/>
    <col min="1798" max="1798" width="14" style="4" customWidth="1"/>
    <col min="1799" max="1799" width="12" style="4" bestFit="1" customWidth="1"/>
    <col min="1800" max="1800" width="11.53515625" style="4" bestFit="1" customWidth="1"/>
    <col min="1801" max="1801" width="25.765625" style="4" customWidth="1"/>
    <col min="1802" max="2047" width="10.23046875" style="4"/>
    <col min="2048" max="2048" width="18" style="4" customWidth="1"/>
    <col min="2049" max="2049" width="29" style="4" bestFit="1" customWidth="1"/>
    <col min="2050" max="2050" width="13.23046875" style="4" bestFit="1" customWidth="1"/>
    <col min="2051" max="2051" width="12.23046875" style="4" bestFit="1" customWidth="1"/>
    <col min="2052" max="2052" width="24.23046875" style="4" bestFit="1" customWidth="1"/>
    <col min="2053" max="2053" width="10.23046875" style="4"/>
    <col min="2054" max="2054" width="14" style="4" customWidth="1"/>
    <col min="2055" max="2055" width="12" style="4" bestFit="1" customWidth="1"/>
    <col min="2056" max="2056" width="11.53515625" style="4" bestFit="1" customWidth="1"/>
    <col min="2057" max="2057" width="25.765625" style="4" customWidth="1"/>
    <col min="2058" max="2303" width="10.23046875" style="4"/>
    <col min="2304" max="2304" width="18" style="4" customWidth="1"/>
    <col min="2305" max="2305" width="29" style="4" bestFit="1" customWidth="1"/>
    <col min="2306" max="2306" width="13.23046875" style="4" bestFit="1" customWidth="1"/>
    <col min="2307" max="2307" width="12.23046875" style="4" bestFit="1" customWidth="1"/>
    <col min="2308" max="2308" width="24.23046875" style="4" bestFit="1" customWidth="1"/>
    <col min="2309" max="2309" width="10.23046875" style="4"/>
    <col min="2310" max="2310" width="14" style="4" customWidth="1"/>
    <col min="2311" max="2311" width="12" style="4" bestFit="1" customWidth="1"/>
    <col min="2312" max="2312" width="11.53515625" style="4" bestFit="1" customWidth="1"/>
    <col min="2313" max="2313" width="25.765625" style="4" customWidth="1"/>
    <col min="2314" max="2559" width="10.23046875" style="4"/>
    <col min="2560" max="2560" width="18" style="4" customWidth="1"/>
    <col min="2561" max="2561" width="29" style="4" bestFit="1" customWidth="1"/>
    <col min="2562" max="2562" width="13.23046875" style="4" bestFit="1" customWidth="1"/>
    <col min="2563" max="2563" width="12.23046875" style="4" bestFit="1" customWidth="1"/>
    <col min="2564" max="2564" width="24.23046875" style="4" bestFit="1" customWidth="1"/>
    <col min="2565" max="2565" width="10.23046875" style="4"/>
    <col min="2566" max="2566" width="14" style="4" customWidth="1"/>
    <col min="2567" max="2567" width="12" style="4" bestFit="1" customWidth="1"/>
    <col min="2568" max="2568" width="11.53515625" style="4" bestFit="1" customWidth="1"/>
    <col min="2569" max="2569" width="25.765625" style="4" customWidth="1"/>
    <col min="2570" max="2815" width="10.23046875" style="4"/>
    <col min="2816" max="2816" width="18" style="4" customWidth="1"/>
    <col min="2817" max="2817" width="29" style="4" bestFit="1" customWidth="1"/>
    <col min="2818" max="2818" width="13.23046875" style="4" bestFit="1" customWidth="1"/>
    <col min="2819" max="2819" width="12.23046875" style="4" bestFit="1" customWidth="1"/>
    <col min="2820" max="2820" width="24.23046875" style="4" bestFit="1" customWidth="1"/>
    <col min="2821" max="2821" width="10.23046875" style="4"/>
    <col min="2822" max="2822" width="14" style="4" customWidth="1"/>
    <col min="2823" max="2823" width="12" style="4" bestFit="1" customWidth="1"/>
    <col min="2824" max="2824" width="11.53515625" style="4" bestFit="1" customWidth="1"/>
    <col min="2825" max="2825" width="25.765625" style="4" customWidth="1"/>
    <col min="2826" max="3071" width="10.23046875" style="4"/>
    <col min="3072" max="3072" width="18" style="4" customWidth="1"/>
    <col min="3073" max="3073" width="29" style="4" bestFit="1" customWidth="1"/>
    <col min="3074" max="3074" width="13.23046875" style="4" bestFit="1" customWidth="1"/>
    <col min="3075" max="3075" width="12.23046875" style="4" bestFit="1" customWidth="1"/>
    <col min="3076" max="3076" width="24.23046875" style="4" bestFit="1" customWidth="1"/>
    <col min="3077" max="3077" width="10.23046875" style="4"/>
    <col min="3078" max="3078" width="14" style="4" customWidth="1"/>
    <col min="3079" max="3079" width="12" style="4" bestFit="1" customWidth="1"/>
    <col min="3080" max="3080" width="11.53515625" style="4" bestFit="1" customWidth="1"/>
    <col min="3081" max="3081" width="25.765625" style="4" customWidth="1"/>
    <col min="3082" max="3327" width="10.23046875" style="4"/>
    <col min="3328" max="3328" width="18" style="4" customWidth="1"/>
    <col min="3329" max="3329" width="29" style="4" bestFit="1" customWidth="1"/>
    <col min="3330" max="3330" width="13.23046875" style="4" bestFit="1" customWidth="1"/>
    <col min="3331" max="3331" width="12.23046875" style="4" bestFit="1" customWidth="1"/>
    <col min="3332" max="3332" width="24.23046875" style="4" bestFit="1" customWidth="1"/>
    <col min="3333" max="3333" width="10.23046875" style="4"/>
    <col min="3334" max="3334" width="14" style="4" customWidth="1"/>
    <col min="3335" max="3335" width="12" style="4" bestFit="1" customWidth="1"/>
    <col min="3336" max="3336" width="11.53515625" style="4" bestFit="1" customWidth="1"/>
    <col min="3337" max="3337" width="25.765625" style="4" customWidth="1"/>
    <col min="3338" max="3583" width="10.23046875" style="4"/>
    <col min="3584" max="3584" width="18" style="4" customWidth="1"/>
    <col min="3585" max="3585" width="29" style="4" bestFit="1" customWidth="1"/>
    <col min="3586" max="3586" width="13.23046875" style="4" bestFit="1" customWidth="1"/>
    <col min="3587" max="3587" width="12.23046875" style="4" bestFit="1" customWidth="1"/>
    <col min="3588" max="3588" width="24.23046875" style="4" bestFit="1" customWidth="1"/>
    <col min="3589" max="3589" width="10.23046875" style="4"/>
    <col min="3590" max="3590" width="14" style="4" customWidth="1"/>
    <col min="3591" max="3591" width="12" style="4" bestFit="1" customWidth="1"/>
    <col min="3592" max="3592" width="11.53515625" style="4" bestFit="1" customWidth="1"/>
    <col min="3593" max="3593" width="25.765625" style="4" customWidth="1"/>
    <col min="3594" max="3839" width="10.23046875" style="4"/>
    <col min="3840" max="3840" width="18" style="4" customWidth="1"/>
    <col min="3841" max="3841" width="29" style="4" bestFit="1" customWidth="1"/>
    <col min="3842" max="3842" width="13.23046875" style="4" bestFit="1" customWidth="1"/>
    <col min="3843" max="3843" width="12.23046875" style="4" bestFit="1" customWidth="1"/>
    <col min="3844" max="3844" width="24.23046875" style="4" bestFit="1" customWidth="1"/>
    <col min="3845" max="3845" width="10.23046875" style="4"/>
    <col min="3846" max="3846" width="14" style="4" customWidth="1"/>
    <col min="3847" max="3847" width="12" style="4" bestFit="1" customWidth="1"/>
    <col min="3848" max="3848" width="11.53515625" style="4" bestFit="1" customWidth="1"/>
    <col min="3849" max="3849" width="25.765625" style="4" customWidth="1"/>
    <col min="3850" max="4095" width="10.23046875" style="4"/>
    <col min="4096" max="4096" width="18" style="4" customWidth="1"/>
    <col min="4097" max="4097" width="29" style="4" bestFit="1" customWidth="1"/>
    <col min="4098" max="4098" width="13.23046875" style="4" bestFit="1" customWidth="1"/>
    <col min="4099" max="4099" width="12.23046875" style="4" bestFit="1" customWidth="1"/>
    <col min="4100" max="4100" width="24.23046875" style="4" bestFit="1" customWidth="1"/>
    <col min="4101" max="4101" width="10.23046875" style="4"/>
    <col min="4102" max="4102" width="14" style="4" customWidth="1"/>
    <col min="4103" max="4103" width="12" style="4" bestFit="1" customWidth="1"/>
    <col min="4104" max="4104" width="11.53515625" style="4" bestFit="1" customWidth="1"/>
    <col min="4105" max="4105" width="25.765625" style="4" customWidth="1"/>
    <col min="4106" max="4351" width="10.23046875" style="4"/>
    <col min="4352" max="4352" width="18" style="4" customWidth="1"/>
    <col min="4353" max="4353" width="29" style="4" bestFit="1" customWidth="1"/>
    <col min="4354" max="4354" width="13.23046875" style="4" bestFit="1" customWidth="1"/>
    <col min="4355" max="4355" width="12.23046875" style="4" bestFit="1" customWidth="1"/>
    <col min="4356" max="4356" width="24.23046875" style="4" bestFit="1" customWidth="1"/>
    <col min="4357" max="4357" width="10.23046875" style="4"/>
    <col min="4358" max="4358" width="14" style="4" customWidth="1"/>
    <col min="4359" max="4359" width="12" style="4" bestFit="1" customWidth="1"/>
    <col min="4360" max="4360" width="11.53515625" style="4" bestFit="1" customWidth="1"/>
    <col min="4361" max="4361" width="25.765625" style="4" customWidth="1"/>
    <col min="4362" max="4607" width="10.23046875" style="4"/>
    <col min="4608" max="4608" width="18" style="4" customWidth="1"/>
    <col min="4609" max="4609" width="29" style="4" bestFit="1" customWidth="1"/>
    <col min="4610" max="4610" width="13.23046875" style="4" bestFit="1" customWidth="1"/>
    <col min="4611" max="4611" width="12.23046875" style="4" bestFit="1" customWidth="1"/>
    <col min="4612" max="4612" width="24.23046875" style="4" bestFit="1" customWidth="1"/>
    <col min="4613" max="4613" width="10.23046875" style="4"/>
    <col min="4614" max="4614" width="14" style="4" customWidth="1"/>
    <col min="4615" max="4615" width="12" style="4" bestFit="1" customWidth="1"/>
    <col min="4616" max="4616" width="11.53515625" style="4" bestFit="1" customWidth="1"/>
    <col min="4617" max="4617" width="25.765625" style="4" customWidth="1"/>
    <col min="4618" max="4863" width="10.23046875" style="4"/>
    <col min="4864" max="4864" width="18" style="4" customWidth="1"/>
    <col min="4865" max="4865" width="29" style="4" bestFit="1" customWidth="1"/>
    <col min="4866" max="4866" width="13.23046875" style="4" bestFit="1" customWidth="1"/>
    <col min="4867" max="4867" width="12.23046875" style="4" bestFit="1" customWidth="1"/>
    <col min="4868" max="4868" width="24.23046875" style="4" bestFit="1" customWidth="1"/>
    <col min="4869" max="4869" width="10.23046875" style="4"/>
    <col min="4870" max="4870" width="14" style="4" customWidth="1"/>
    <col min="4871" max="4871" width="12" style="4" bestFit="1" customWidth="1"/>
    <col min="4872" max="4872" width="11.53515625" style="4" bestFit="1" customWidth="1"/>
    <col min="4873" max="4873" width="25.765625" style="4" customWidth="1"/>
    <col min="4874" max="5119" width="10.23046875" style="4"/>
    <col min="5120" max="5120" width="18" style="4" customWidth="1"/>
    <col min="5121" max="5121" width="29" style="4" bestFit="1" customWidth="1"/>
    <col min="5122" max="5122" width="13.23046875" style="4" bestFit="1" customWidth="1"/>
    <col min="5123" max="5123" width="12.23046875" style="4" bestFit="1" customWidth="1"/>
    <col min="5124" max="5124" width="24.23046875" style="4" bestFit="1" customWidth="1"/>
    <col min="5125" max="5125" width="10.23046875" style="4"/>
    <col min="5126" max="5126" width="14" style="4" customWidth="1"/>
    <col min="5127" max="5127" width="12" style="4" bestFit="1" customWidth="1"/>
    <col min="5128" max="5128" width="11.53515625" style="4" bestFit="1" customWidth="1"/>
    <col min="5129" max="5129" width="25.765625" style="4" customWidth="1"/>
    <col min="5130" max="5375" width="10.23046875" style="4"/>
    <col min="5376" max="5376" width="18" style="4" customWidth="1"/>
    <col min="5377" max="5377" width="29" style="4" bestFit="1" customWidth="1"/>
    <col min="5378" max="5378" width="13.23046875" style="4" bestFit="1" customWidth="1"/>
    <col min="5379" max="5379" width="12.23046875" style="4" bestFit="1" customWidth="1"/>
    <col min="5380" max="5380" width="24.23046875" style="4" bestFit="1" customWidth="1"/>
    <col min="5381" max="5381" width="10.23046875" style="4"/>
    <col min="5382" max="5382" width="14" style="4" customWidth="1"/>
    <col min="5383" max="5383" width="12" style="4" bestFit="1" customWidth="1"/>
    <col min="5384" max="5384" width="11.53515625" style="4" bestFit="1" customWidth="1"/>
    <col min="5385" max="5385" width="25.765625" style="4" customWidth="1"/>
    <col min="5386" max="5631" width="10.23046875" style="4"/>
    <col min="5632" max="5632" width="18" style="4" customWidth="1"/>
    <col min="5633" max="5633" width="29" style="4" bestFit="1" customWidth="1"/>
    <col min="5634" max="5634" width="13.23046875" style="4" bestFit="1" customWidth="1"/>
    <col min="5635" max="5635" width="12.23046875" style="4" bestFit="1" customWidth="1"/>
    <col min="5636" max="5636" width="24.23046875" style="4" bestFit="1" customWidth="1"/>
    <col min="5637" max="5637" width="10.23046875" style="4"/>
    <col min="5638" max="5638" width="14" style="4" customWidth="1"/>
    <col min="5639" max="5639" width="12" style="4" bestFit="1" customWidth="1"/>
    <col min="5640" max="5640" width="11.53515625" style="4" bestFit="1" customWidth="1"/>
    <col min="5641" max="5641" width="25.765625" style="4" customWidth="1"/>
    <col min="5642" max="5887" width="10.23046875" style="4"/>
    <col min="5888" max="5888" width="18" style="4" customWidth="1"/>
    <col min="5889" max="5889" width="29" style="4" bestFit="1" customWidth="1"/>
    <col min="5890" max="5890" width="13.23046875" style="4" bestFit="1" customWidth="1"/>
    <col min="5891" max="5891" width="12.23046875" style="4" bestFit="1" customWidth="1"/>
    <col min="5892" max="5892" width="24.23046875" style="4" bestFit="1" customWidth="1"/>
    <col min="5893" max="5893" width="10.23046875" style="4"/>
    <col min="5894" max="5894" width="14" style="4" customWidth="1"/>
    <col min="5895" max="5895" width="12" style="4" bestFit="1" customWidth="1"/>
    <col min="5896" max="5896" width="11.53515625" style="4" bestFit="1" customWidth="1"/>
    <col min="5897" max="5897" width="25.765625" style="4" customWidth="1"/>
    <col min="5898" max="6143" width="10.23046875" style="4"/>
    <col min="6144" max="6144" width="18" style="4" customWidth="1"/>
    <col min="6145" max="6145" width="29" style="4" bestFit="1" customWidth="1"/>
    <col min="6146" max="6146" width="13.23046875" style="4" bestFit="1" customWidth="1"/>
    <col min="6147" max="6147" width="12.23046875" style="4" bestFit="1" customWidth="1"/>
    <col min="6148" max="6148" width="24.23046875" style="4" bestFit="1" customWidth="1"/>
    <col min="6149" max="6149" width="10.23046875" style="4"/>
    <col min="6150" max="6150" width="14" style="4" customWidth="1"/>
    <col min="6151" max="6151" width="12" style="4" bestFit="1" customWidth="1"/>
    <col min="6152" max="6152" width="11.53515625" style="4" bestFit="1" customWidth="1"/>
    <col min="6153" max="6153" width="25.765625" style="4" customWidth="1"/>
    <col min="6154" max="6399" width="10.23046875" style="4"/>
    <col min="6400" max="6400" width="18" style="4" customWidth="1"/>
    <col min="6401" max="6401" width="29" style="4" bestFit="1" customWidth="1"/>
    <col min="6402" max="6402" width="13.23046875" style="4" bestFit="1" customWidth="1"/>
    <col min="6403" max="6403" width="12.23046875" style="4" bestFit="1" customWidth="1"/>
    <col min="6404" max="6404" width="24.23046875" style="4" bestFit="1" customWidth="1"/>
    <col min="6405" max="6405" width="10.23046875" style="4"/>
    <col min="6406" max="6406" width="14" style="4" customWidth="1"/>
    <col min="6407" max="6407" width="12" style="4" bestFit="1" customWidth="1"/>
    <col min="6408" max="6408" width="11.53515625" style="4" bestFit="1" customWidth="1"/>
    <col min="6409" max="6409" width="25.765625" style="4" customWidth="1"/>
    <col min="6410" max="6655" width="10.23046875" style="4"/>
    <col min="6656" max="6656" width="18" style="4" customWidth="1"/>
    <col min="6657" max="6657" width="29" style="4" bestFit="1" customWidth="1"/>
    <col min="6658" max="6658" width="13.23046875" style="4" bestFit="1" customWidth="1"/>
    <col min="6659" max="6659" width="12.23046875" style="4" bestFit="1" customWidth="1"/>
    <col min="6660" max="6660" width="24.23046875" style="4" bestFit="1" customWidth="1"/>
    <col min="6661" max="6661" width="10.23046875" style="4"/>
    <col min="6662" max="6662" width="14" style="4" customWidth="1"/>
    <col min="6663" max="6663" width="12" style="4" bestFit="1" customWidth="1"/>
    <col min="6664" max="6664" width="11.53515625" style="4" bestFit="1" customWidth="1"/>
    <col min="6665" max="6665" width="25.765625" style="4" customWidth="1"/>
    <col min="6666" max="6911" width="10.23046875" style="4"/>
    <col min="6912" max="6912" width="18" style="4" customWidth="1"/>
    <col min="6913" max="6913" width="29" style="4" bestFit="1" customWidth="1"/>
    <col min="6914" max="6914" width="13.23046875" style="4" bestFit="1" customWidth="1"/>
    <col min="6915" max="6915" width="12.23046875" style="4" bestFit="1" customWidth="1"/>
    <col min="6916" max="6916" width="24.23046875" style="4" bestFit="1" customWidth="1"/>
    <col min="6917" max="6917" width="10.23046875" style="4"/>
    <col min="6918" max="6918" width="14" style="4" customWidth="1"/>
    <col min="6919" max="6919" width="12" style="4" bestFit="1" customWidth="1"/>
    <col min="6920" max="6920" width="11.53515625" style="4" bestFit="1" customWidth="1"/>
    <col min="6921" max="6921" width="25.765625" style="4" customWidth="1"/>
    <col min="6922" max="7167" width="10.23046875" style="4"/>
    <col min="7168" max="7168" width="18" style="4" customWidth="1"/>
    <col min="7169" max="7169" width="29" style="4" bestFit="1" customWidth="1"/>
    <col min="7170" max="7170" width="13.23046875" style="4" bestFit="1" customWidth="1"/>
    <col min="7171" max="7171" width="12.23046875" style="4" bestFit="1" customWidth="1"/>
    <col min="7172" max="7172" width="24.23046875" style="4" bestFit="1" customWidth="1"/>
    <col min="7173" max="7173" width="10.23046875" style="4"/>
    <col min="7174" max="7174" width="14" style="4" customWidth="1"/>
    <col min="7175" max="7175" width="12" style="4" bestFit="1" customWidth="1"/>
    <col min="7176" max="7176" width="11.53515625" style="4" bestFit="1" customWidth="1"/>
    <col min="7177" max="7177" width="25.765625" style="4" customWidth="1"/>
    <col min="7178" max="7423" width="10.23046875" style="4"/>
    <col min="7424" max="7424" width="18" style="4" customWidth="1"/>
    <col min="7425" max="7425" width="29" style="4" bestFit="1" customWidth="1"/>
    <col min="7426" max="7426" width="13.23046875" style="4" bestFit="1" customWidth="1"/>
    <col min="7427" max="7427" width="12.23046875" style="4" bestFit="1" customWidth="1"/>
    <col min="7428" max="7428" width="24.23046875" style="4" bestFit="1" customWidth="1"/>
    <col min="7429" max="7429" width="10.23046875" style="4"/>
    <col min="7430" max="7430" width="14" style="4" customWidth="1"/>
    <col min="7431" max="7431" width="12" style="4" bestFit="1" customWidth="1"/>
    <col min="7432" max="7432" width="11.53515625" style="4" bestFit="1" customWidth="1"/>
    <col min="7433" max="7433" width="25.765625" style="4" customWidth="1"/>
    <col min="7434" max="7679" width="10.23046875" style="4"/>
    <col min="7680" max="7680" width="18" style="4" customWidth="1"/>
    <col min="7681" max="7681" width="29" style="4" bestFit="1" customWidth="1"/>
    <col min="7682" max="7682" width="13.23046875" style="4" bestFit="1" customWidth="1"/>
    <col min="7683" max="7683" width="12.23046875" style="4" bestFit="1" customWidth="1"/>
    <col min="7684" max="7684" width="24.23046875" style="4" bestFit="1" customWidth="1"/>
    <col min="7685" max="7685" width="10.23046875" style="4"/>
    <col min="7686" max="7686" width="14" style="4" customWidth="1"/>
    <col min="7687" max="7687" width="12" style="4" bestFit="1" customWidth="1"/>
    <col min="7688" max="7688" width="11.53515625" style="4" bestFit="1" customWidth="1"/>
    <col min="7689" max="7689" width="25.765625" style="4" customWidth="1"/>
    <col min="7690" max="7935" width="10.23046875" style="4"/>
    <col min="7936" max="7936" width="18" style="4" customWidth="1"/>
    <col min="7937" max="7937" width="29" style="4" bestFit="1" customWidth="1"/>
    <col min="7938" max="7938" width="13.23046875" style="4" bestFit="1" customWidth="1"/>
    <col min="7939" max="7939" width="12.23046875" style="4" bestFit="1" customWidth="1"/>
    <col min="7940" max="7940" width="24.23046875" style="4" bestFit="1" customWidth="1"/>
    <col min="7941" max="7941" width="10.23046875" style="4"/>
    <col min="7942" max="7942" width="14" style="4" customWidth="1"/>
    <col min="7943" max="7943" width="12" style="4" bestFit="1" customWidth="1"/>
    <col min="7944" max="7944" width="11.53515625" style="4" bestFit="1" customWidth="1"/>
    <col min="7945" max="7945" width="25.765625" style="4" customWidth="1"/>
    <col min="7946" max="8191" width="10.23046875" style="4"/>
    <col min="8192" max="8192" width="18" style="4" customWidth="1"/>
    <col min="8193" max="8193" width="29" style="4" bestFit="1" customWidth="1"/>
    <col min="8194" max="8194" width="13.23046875" style="4" bestFit="1" customWidth="1"/>
    <col min="8195" max="8195" width="12.23046875" style="4" bestFit="1" customWidth="1"/>
    <col min="8196" max="8196" width="24.23046875" style="4" bestFit="1" customWidth="1"/>
    <col min="8197" max="8197" width="10.23046875" style="4"/>
    <col min="8198" max="8198" width="14" style="4" customWidth="1"/>
    <col min="8199" max="8199" width="12" style="4" bestFit="1" customWidth="1"/>
    <col min="8200" max="8200" width="11.53515625" style="4" bestFit="1" customWidth="1"/>
    <col min="8201" max="8201" width="25.765625" style="4" customWidth="1"/>
    <col min="8202" max="8447" width="10.23046875" style="4"/>
    <col min="8448" max="8448" width="18" style="4" customWidth="1"/>
    <col min="8449" max="8449" width="29" style="4" bestFit="1" customWidth="1"/>
    <col min="8450" max="8450" width="13.23046875" style="4" bestFit="1" customWidth="1"/>
    <col min="8451" max="8451" width="12.23046875" style="4" bestFit="1" customWidth="1"/>
    <col min="8452" max="8452" width="24.23046875" style="4" bestFit="1" customWidth="1"/>
    <col min="8453" max="8453" width="10.23046875" style="4"/>
    <col min="8454" max="8454" width="14" style="4" customWidth="1"/>
    <col min="8455" max="8455" width="12" style="4" bestFit="1" customWidth="1"/>
    <col min="8456" max="8456" width="11.53515625" style="4" bestFit="1" customWidth="1"/>
    <col min="8457" max="8457" width="25.765625" style="4" customWidth="1"/>
    <col min="8458" max="8703" width="10.23046875" style="4"/>
    <col min="8704" max="8704" width="18" style="4" customWidth="1"/>
    <col min="8705" max="8705" width="29" style="4" bestFit="1" customWidth="1"/>
    <col min="8706" max="8706" width="13.23046875" style="4" bestFit="1" customWidth="1"/>
    <col min="8707" max="8707" width="12.23046875" style="4" bestFit="1" customWidth="1"/>
    <col min="8708" max="8708" width="24.23046875" style="4" bestFit="1" customWidth="1"/>
    <col min="8709" max="8709" width="10.23046875" style="4"/>
    <col min="8710" max="8710" width="14" style="4" customWidth="1"/>
    <col min="8711" max="8711" width="12" style="4" bestFit="1" customWidth="1"/>
    <col min="8712" max="8712" width="11.53515625" style="4" bestFit="1" customWidth="1"/>
    <col min="8713" max="8713" width="25.765625" style="4" customWidth="1"/>
    <col min="8714" max="8959" width="10.23046875" style="4"/>
    <col min="8960" max="8960" width="18" style="4" customWidth="1"/>
    <col min="8961" max="8961" width="29" style="4" bestFit="1" customWidth="1"/>
    <col min="8962" max="8962" width="13.23046875" style="4" bestFit="1" customWidth="1"/>
    <col min="8963" max="8963" width="12.23046875" style="4" bestFit="1" customWidth="1"/>
    <col min="8964" max="8964" width="24.23046875" style="4" bestFit="1" customWidth="1"/>
    <col min="8965" max="8965" width="10.23046875" style="4"/>
    <col min="8966" max="8966" width="14" style="4" customWidth="1"/>
    <col min="8967" max="8967" width="12" style="4" bestFit="1" customWidth="1"/>
    <col min="8968" max="8968" width="11.53515625" style="4" bestFit="1" customWidth="1"/>
    <col min="8969" max="8969" width="25.765625" style="4" customWidth="1"/>
    <col min="8970" max="9215" width="10.23046875" style="4"/>
    <col min="9216" max="9216" width="18" style="4" customWidth="1"/>
    <col min="9217" max="9217" width="29" style="4" bestFit="1" customWidth="1"/>
    <col min="9218" max="9218" width="13.23046875" style="4" bestFit="1" customWidth="1"/>
    <col min="9219" max="9219" width="12.23046875" style="4" bestFit="1" customWidth="1"/>
    <col min="9220" max="9220" width="24.23046875" style="4" bestFit="1" customWidth="1"/>
    <col min="9221" max="9221" width="10.23046875" style="4"/>
    <col min="9222" max="9222" width="14" style="4" customWidth="1"/>
    <col min="9223" max="9223" width="12" style="4" bestFit="1" customWidth="1"/>
    <col min="9224" max="9224" width="11.53515625" style="4" bestFit="1" customWidth="1"/>
    <col min="9225" max="9225" width="25.765625" style="4" customWidth="1"/>
    <col min="9226" max="9471" width="10.23046875" style="4"/>
    <col min="9472" max="9472" width="18" style="4" customWidth="1"/>
    <col min="9473" max="9473" width="29" style="4" bestFit="1" customWidth="1"/>
    <col min="9474" max="9474" width="13.23046875" style="4" bestFit="1" customWidth="1"/>
    <col min="9475" max="9475" width="12.23046875" style="4" bestFit="1" customWidth="1"/>
    <col min="9476" max="9476" width="24.23046875" style="4" bestFit="1" customWidth="1"/>
    <col min="9477" max="9477" width="10.23046875" style="4"/>
    <col min="9478" max="9478" width="14" style="4" customWidth="1"/>
    <col min="9479" max="9479" width="12" style="4" bestFit="1" customWidth="1"/>
    <col min="9480" max="9480" width="11.53515625" style="4" bestFit="1" customWidth="1"/>
    <col min="9481" max="9481" width="25.765625" style="4" customWidth="1"/>
    <col min="9482" max="9727" width="10.23046875" style="4"/>
    <col min="9728" max="9728" width="18" style="4" customWidth="1"/>
    <col min="9729" max="9729" width="29" style="4" bestFit="1" customWidth="1"/>
    <col min="9730" max="9730" width="13.23046875" style="4" bestFit="1" customWidth="1"/>
    <col min="9731" max="9731" width="12.23046875" style="4" bestFit="1" customWidth="1"/>
    <col min="9732" max="9732" width="24.23046875" style="4" bestFit="1" customWidth="1"/>
    <col min="9733" max="9733" width="10.23046875" style="4"/>
    <col min="9734" max="9734" width="14" style="4" customWidth="1"/>
    <col min="9735" max="9735" width="12" style="4" bestFit="1" customWidth="1"/>
    <col min="9736" max="9736" width="11.53515625" style="4" bestFit="1" customWidth="1"/>
    <col min="9737" max="9737" width="25.765625" style="4" customWidth="1"/>
    <col min="9738" max="9983" width="10.23046875" style="4"/>
    <col min="9984" max="9984" width="18" style="4" customWidth="1"/>
    <col min="9985" max="9985" width="29" style="4" bestFit="1" customWidth="1"/>
    <col min="9986" max="9986" width="13.23046875" style="4" bestFit="1" customWidth="1"/>
    <col min="9987" max="9987" width="12.23046875" style="4" bestFit="1" customWidth="1"/>
    <col min="9988" max="9988" width="24.23046875" style="4" bestFit="1" customWidth="1"/>
    <col min="9989" max="9989" width="10.23046875" style="4"/>
    <col min="9990" max="9990" width="14" style="4" customWidth="1"/>
    <col min="9991" max="9991" width="12" style="4" bestFit="1" customWidth="1"/>
    <col min="9992" max="9992" width="11.53515625" style="4" bestFit="1" customWidth="1"/>
    <col min="9993" max="9993" width="25.765625" style="4" customWidth="1"/>
    <col min="9994" max="10239" width="10.23046875" style="4"/>
    <col min="10240" max="10240" width="18" style="4" customWidth="1"/>
    <col min="10241" max="10241" width="29" style="4" bestFit="1" customWidth="1"/>
    <col min="10242" max="10242" width="13.23046875" style="4" bestFit="1" customWidth="1"/>
    <col min="10243" max="10243" width="12.23046875" style="4" bestFit="1" customWidth="1"/>
    <col min="10244" max="10244" width="24.23046875" style="4" bestFit="1" customWidth="1"/>
    <col min="10245" max="10245" width="10.23046875" style="4"/>
    <col min="10246" max="10246" width="14" style="4" customWidth="1"/>
    <col min="10247" max="10247" width="12" style="4" bestFit="1" customWidth="1"/>
    <col min="10248" max="10248" width="11.53515625" style="4" bestFit="1" customWidth="1"/>
    <col min="10249" max="10249" width="25.765625" style="4" customWidth="1"/>
    <col min="10250" max="10495" width="10.23046875" style="4"/>
    <col min="10496" max="10496" width="18" style="4" customWidth="1"/>
    <col min="10497" max="10497" width="29" style="4" bestFit="1" customWidth="1"/>
    <col min="10498" max="10498" width="13.23046875" style="4" bestFit="1" customWidth="1"/>
    <col min="10499" max="10499" width="12.23046875" style="4" bestFit="1" customWidth="1"/>
    <col min="10500" max="10500" width="24.23046875" style="4" bestFit="1" customWidth="1"/>
    <col min="10501" max="10501" width="10.23046875" style="4"/>
    <col min="10502" max="10502" width="14" style="4" customWidth="1"/>
    <col min="10503" max="10503" width="12" style="4" bestFit="1" customWidth="1"/>
    <col min="10504" max="10504" width="11.53515625" style="4" bestFit="1" customWidth="1"/>
    <col min="10505" max="10505" width="25.765625" style="4" customWidth="1"/>
    <col min="10506" max="10751" width="10.23046875" style="4"/>
    <col min="10752" max="10752" width="18" style="4" customWidth="1"/>
    <col min="10753" max="10753" width="29" style="4" bestFit="1" customWidth="1"/>
    <col min="10754" max="10754" width="13.23046875" style="4" bestFit="1" customWidth="1"/>
    <col min="10755" max="10755" width="12.23046875" style="4" bestFit="1" customWidth="1"/>
    <col min="10756" max="10756" width="24.23046875" style="4" bestFit="1" customWidth="1"/>
    <col min="10757" max="10757" width="10.23046875" style="4"/>
    <col min="10758" max="10758" width="14" style="4" customWidth="1"/>
    <col min="10759" max="10759" width="12" style="4" bestFit="1" customWidth="1"/>
    <col min="10760" max="10760" width="11.53515625" style="4" bestFit="1" customWidth="1"/>
    <col min="10761" max="10761" width="25.765625" style="4" customWidth="1"/>
    <col min="10762" max="11007" width="10.23046875" style="4"/>
    <col min="11008" max="11008" width="18" style="4" customWidth="1"/>
    <col min="11009" max="11009" width="29" style="4" bestFit="1" customWidth="1"/>
    <col min="11010" max="11010" width="13.23046875" style="4" bestFit="1" customWidth="1"/>
    <col min="11011" max="11011" width="12.23046875" style="4" bestFit="1" customWidth="1"/>
    <col min="11012" max="11012" width="24.23046875" style="4" bestFit="1" customWidth="1"/>
    <col min="11013" max="11013" width="10.23046875" style="4"/>
    <col min="11014" max="11014" width="14" style="4" customWidth="1"/>
    <col min="11015" max="11015" width="12" style="4" bestFit="1" customWidth="1"/>
    <col min="11016" max="11016" width="11.53515625" style="4" bestFit="1" customWidth="1"/>
    <col min="11017" max="11017" width="25.765625" style="4" customWidth="1"/>
    <col min="11018" max="11263" width="10.23046875" style="4"/>
    <col min="11264" max="11264" width="18" style="4" customWidth="1"/>
    <col min="11265" max="11265" width="29" style="4" bestFit="1" customWidth="1"/>
    <col min="11266" max="11266" width="13.23046875" style="4" bestFit="1" customWidth="1"/>
    <col min="11267" max="11267" width="12.23046875" style="4" bestFit="1" customWidth="1"/>
    <col min="11268" max="11268" width="24.23046875" style="4" bestFit="1" customWidth="1"/>
    <col min="11269" max="11269" width="10.23046875" style="4"/>
    <col min="11270" max="11270" width="14" style="4" customWidth="1"/>
    <col min="11271" max="11271" width="12" style="4" bestFit="1" customWidth="1"/>
    <col min="11272" max="11272" width="11.53515625" style="4" bestFit="1" customWidth="1"/>
    <col min="11273" max="11273" width="25.765625" style="4" customWidth="1"/>
    <col min="11274" max="11519" width="10.23046875" style="4"/>
    <col min="11520" max="11520" width="18" style="4" customWidth="1"/>
    <col min="11521" max="11521" width="29" style="4" bestFit="1" customWidth="1"/>
    <col min="11522" max="11522" width="13.23046875" style="4" bestFit="1" customWidth="1"/>
    <col min="11523" max="11523" width="12.23046875" style="4" bestFit="1" customWidth="1"/>
    <col min="11524" max="11524" width="24.23046875" style="4" bestFit="1" customWidth="1"/>
    <col min="11525" max="11525" width="10.23046875" style="4"/>
    <col min="11526" max="11526" width="14" style="4" customWidth="1"/>
    <col min="11527" max="11527" width="12" style="4" bestFit="1" customWidth="1"/>
    <col min="11528" max="11528" width="11.53515625" style="4" bestFit="1" customWidth="1"/>
    <col min="11529" max="11529" width="25.765625" style="4" customWidth="1"/>
    <col min="11530" max="11775" width="10.23046875" style="4"/>
    <col min="11776" max="11776" width="18" style="4" customWidth="1"/>
    <col min="11777" max="11777" width="29" style="4" bestFit="1" customWidth="1"/>
    <col min="11778" max="11778" width="13.23046875" style="4" bestFit="1" customWidth="1"/>
    <col min="11779" max="11779" width="12.23046875" style="4" bestFit="1" customWidth="1"/>
    <col min="11780" max="11780" width="24.23046875" style="4" bestFit="1" customWidth="1"/>
    <col min="11781" max="11781" width="10.23046875" style="4"/>
    <col min="11782" max="11782" width="14" style="4" customWidth="1"/>
    <col min="11783" max="11783" width="12" style="4" bestFit="1" customWidth="1"/>
    <col min="11784" max="11784" width="11.53515625" style="4" bestFit="1" customWidth="1"/>
    <col min="11785" max="11785" width="25.765625" style="4" customWidth="1"/>
    <col min="11786" max="12031" width="10.23046875" style="4"/>
    <col min="12032" max="12032" width="18" style="4" customWidth="1"/>
    <col min="12033" max="12033" width="29" style="4" bestFit="1" customWidth="1"/>
    <col min="12034" max="12034" width="13.23046875" style="4" bestFit="1" customWidth="1"/>
    <col min="12035" max="12035" width="12.23046875" style="4" bestFit="1" customWidth="1"/>
    <col min="12036" max="12036" width="24.23046875" style="4" bestFit="1" customWidth="1"/>
    <col min="12037" max="12037" width="10.23046875" style="4"/>
    <col min="12038" max="12038" width="14" style="4" customWidth="1"/>
    <col min="12039" max="12039" width="12" style="4" bestFit="1" customWidth="1"/>
    <col min="12040" max="12040" width="11.53515625" style="4" bestFit="1" customWidth="1"/>
    <col min="12041" max="12041" width="25.765625" style="4" customWidth="1"/>
    <col min="12042" max="12287" width="10.23046875" style="4"/>
    <col min="12288" max="12288" width="18" style="4" customWidth="1"/>
    <col min="12289" max="12289" width="29" style="4" bestFit="1" customWidth="1"/>
    <col min="12290" max="12290" width="13.23046875" style="4" bestFit="1" customWidth="1"/>
    <col min="12291" max="12291" width="12.23046875" style="4" bestFit="1" customWidth="1"/>
    <col min="12292" max="12292" width="24.23046875" style="4" bestFit="1" customWidth="1"/>
    <col min="12293" max="12293" width="10.23046875" style="4"/>
    <col min="12294" max="12294" width="14" style="4" customWidth="1"/>
    <col min="12295" max="12295" width="12" style="4" bestFit="1" customWidth="1"/>
    <col min="12296" max="12296" width="11.53515625" style="4" bestFit="1" customWidth="1"/>
    <col min="12297" max="12297" width="25.765625" style="4" customWidth="1"/>
    <col min="12298" max="12543" width="10.23046875" style="4"/>
    <col min="12544" max="12544" width="18" style="4" customWidth="1"/>
    <col min="12545" max="12545" width="29" style="4" bestFit="1" customWidth="1"/>
    <col min="12546" max="12546" width="13.23046875" style="4" bestFit="1" customWidth="1"/>
    <col min="12547" max="12547" width="12.23046875" style="4" bestFit="1" customWidth="1"/>
    <col min="12548" max="12548" width="24.23046875" style="4" bestFit="1" customWidth="1"/>
    <col min="12549" max="12549" width="10.23046875" style="4"/>
    <col min="12550" max="12550" width="14" style="4" customWidth="1"/>
    <col min="12551" max="12551" width="12" style="4" bestFit="1" customWidth="1"/>
    <col min="12552" max="12552" width="11.53515625" style="4" bestFit="1" customWidth="1"/>
    <col min="12553" max="12553" width="25.765625" style="4" customWidth="1"/>
    <col min="12554" max="12799" width="10.23046875" style="4"/>
    <col min="12800" max="12800" width="18" style="4" customWidth="1"/>
    <col min="12801" max="12801" width="29" style="4" bestFit="1" customWidth="1"/>
    <col min="12802" max="12802" width="13.23046875" style="4" bestFit="1" customWidth="1"/>
    <col min="12803" max="12803" width="12.23046875" style="4" bestFit="1" customWidth="1"/>
    <col min="12804" max="12804" width="24.23046875" style="4" bestFit="1" customWidth="1"/>
    <col min="12805" max="12805" width="10.23046875" style="4"/>
    <col min="12806" max="12806" width="14" style="4" customWidth="1"/>
    <col min="12807" max="12807" width="12" style="4" bestFit="1" customWidth="1"/>
    <col min="12808" max="12808" width="11.53515625" style="4" bestFit="1" customWidth="1"/>
    <col min="12809" max="12809" width="25.765625" style="4" customWidth="1"/>
    <col min="12810" max="13055" width="10.23046875" style="4"/>
    <col min="13056" max="13056" width="18" style="4" customWidth="1"/>
    <col min="13057" max="13057" width="29" style="4" bestFit="1" customWidth="1"/>
    <col min="13058" max="13058" width="13.23046875" style="4" bestFit="1" customWidth="1"/>
    <col min="13059" max="13059" width="12.23046875" style="4" bestFit="1" customWidth="1"/>
    <col min="13060" max="13060" width="24.23046875" style="4" bestFit="1" customWidth="1"/>
    <col min="13061" max="13061" width="10.23046875" style="4"/>
    <col min="13062" max="13062" width="14" style="4" customWidth="1"/>
    <col min="13063" max="13063" width="12" style="4" bestFit="1" customWidth="1"/>
    <col min="13064" max="13064" width="11.53515625" style="4" bestFit="1" customWidth="1"/>
    <col min="13065" max="13065" width="25.765625" style="4" customWidth="1"/>
    <col min="13066" max="13311" width="10.23046875" style="4"/>
    <col min="13312" max="13312" width="18" style="4" customWidth="1"/>
    <col min="13313" max="13313" width="29" style="4" bestFit="1" customWidth="1"/>
    <col min="13314" max="13314" width="13.23046875" style="4" bestFit="1" customWidth="1"/>
    <col min="13315" max="13315" width="12.23046875" style="4" bestFit="1" customWidth="1"/>
    <col min="13316" max="13316" width="24.23046875" style="4" bestFit="1" customWidth="1"/>
    <col min="13317" max="13317" width="10.23046875" style="4"/>
    <col min="13318" max="13318" width="14" style="4" customWidth="1"/>
    <col min="13319" max="13319" width="12" style="4" bestFit="1" customWidth="1"/>
    <col min="13320" max="13320" width="11.53515625" style="4" bestFit="1" customWidth="1"/>
    <col min="13321" max="13321" width="25.765625" style="4" customWidth="1"/>
    <col min="13322" max="13567" width="10.23046875" style="4"/>
    <col min="13568" max="13568" width="18" style="4" customWidth="1"/>
    <col min="13569" max="13569" width="29" style="4" bestFit="1" customWidth="1"/>
    <col min="13570" max="13570" width="13.23046875" style="4" bestFit="1" customWidth="1"/>
    <col min="13571" max="13571" width="12.23046875" style="4" bestFit="1" customWidth="1"/>
    <col min="13572" max="13572" width="24.23046875" style="4" bestFit="1" customWidth="1"/>
    <col min="13573" max="13573" width="10.23046875" style="4"/>
    <col min="13574" max="13574" width="14" style="4" customWidth="1"/>
    <col min="13575" max="13575" width="12" style="4" bestFit="1" customWidth="1"/>
    <col min="13576" max="13576" width="11.53515625" style="4" bestFit="1" customWidth="1"/>
    <col min="13577" max="13577" width="25.765625" style="4" customWidth="1"/>
    <col min="13578" max="13823" width="10.23046875" style="4"/>
    <col min="13824" max="13824" width="18" style="4" customWidth="1"/>
    <col min="13825" max="13825" width="29" style="4" bestFit="1" customWidth="1"/>
    <col min="13826" max="13826" width="13.23046875" style="4" bestFit="1" customWidth="1"/>
    <col min="13827" max="13827" width="12.23046875" style="4" bestFit="1" customWidth="1"/>
    <col min="13828" max="13828" width="24.23046875" style="4" bestFit="1" customWidth="1"/>
    <col min="13829" max="13829" width="10.23046875" style="4"/>
    <col min="13830" max="13830" width="14" style="4" customWidth="1"/>
    <col min="13831" max="13831" width="12" style="4" bestFit="1" customWidth="1"/>
    <col min="13832" max="13832" width="11.53515625" style="4" bestFit="1" customWidth="1"/>
    <col min="13833" max="13833" width="25.765625" style="4" customWidth="1"/>
    <col min="13834" max="14079" width="10.23046875" style="4"/>
    <col min="14080" max="14080" width="18" style="4" customWidth="1"/>
    <col min="14081" max="14081" width="29" style="4" bestFit="1" customWidth="1"/>
    <col min="14082" max="14082" width="13.23046875" style="4" bestFit="1" customWidth="1"/>
    <col min="14083" max="14083" width="12.23046875" style="4" bestFit="1" customWidth="1"/>
    <col min="14084" max="14084" width="24.23046875" style="4" bestFit="1" customWidth="1"/>
    <col min="14085" max="14085" width="10.23046875" style="4"/>
    <col min="14086" max="14086" width="14" style="4" customWidth="1"/>
    <col min="14087" max="14087" width="12" style="4" bestFit="1" customWidth="1"/>
    <col min="14088" max="14088" width="11.53515625" style="4" bestFit="1" customWidth="1"/>
    <col min="14089" max="14089" width="25.765625" style="4" customWidth="1"/>
    <col min="14090" max="14335" width="10.23046875" style="4"/>
    <col min="14336" max="14336" width="18" style="4" customWidth="1"/>
    <col min="14337" max="14337" width="29" style="4" bestFit="1" customWidth="1"/>
    <col min="14338" max="14338" width="13.23046875" style="4" bestFit="1" customWidth="1"/>
    <col min="14339" max="14339" width="12.23046875" style="4" bestFit="1" customWidth="1"/>
    <col min="14340" max="14340" width="24.23046875" style="4" bestFit="1" customWidth="1"/>
    <col min="14341" max="14341" width="10.23046875" style="4"/>
    <col min="14342" max="14342" width="14" style="4" customWidth="1"/>
    <col min="14343" max="14343" width="12" style="4" bestFit="1" customWidth="1"/>
    <col min="14344" max="14344" width="11.53515625" style="4" bestFit="1" customWidth="1"/>
    <col min="14345" max="14345" width="25.765625" style="4" customWidth="1"/>
    <col min="14346" max="14591" width="10.23046875" style="4"/>
    <col min="14592" max="14592" width="18" style="4" customWidth="1"/>
    <col min="14593" max="14593" width="29" style="4" bestFit="1" customWidth="1"/>
    <col min="14594" max="14594" width="13.23046875" style="4" bestFit="1" customWidth="1"/>
    <col min="14595" max="14595" width="12.23046875" style="4" bestFit="1" customWidth="1"/>
    <col min="14596" max="14596" width="24.23046875" style="4" bestFit="1" customWidth="1"/>
    <col min="14597" max="14597" width="10.23046875" style="4"/>
    <col min="14598" max="14598" width="14" style="4" customWidth="1"/>
    <col min="14599" max="14599" width="12" style="4" bestFit="1" customWidth="1"/>
    <col min="14600" max="14600" width="11.53515625" style="4" bestFit="1" customWidth="1"/>
    <col min="14601" max="14601" width="25.765625" style="4" customWidth="1"/>
    <col min="14602" max="14847" width="10.23046875" style="4"/>
    <col min="14848" max="14848" width="18" style="4" customWidth="1"/>
    <col min="14849" max="14849" width="29" style="4" bestFit="1" customWidth="1"/>
    <col min="14850" max="14850" width="13.23046875" style="4" bestFit="1" customWidth="1"/>
    <col min="14851" max="14851" width="12.23046875" style="4" bestFit="1" customWidth="1"/>
    <col min="14852" max="14852" width="24.23046875" style="4" bestFit="1" customWidth="1"/>
    <col min="14853" max="14853" width="10.23046875" style="4"/>
    <col min="14854" max="14854" width="14" style="4" customWidth="1"/>
    <col min="14855" max="14855" width="12" style="4" bestFit="1" customWidth="1"/>
    <col min="14856" max="14856" width="11.53515625" style="4" bestFit="1" customWidth="1"/>
    <col min="14857" max="14857" width="25.765625" style="4" customWidth="1"/>
    <col min="14858" max="15103" width="10.23046875" style="4"/>
    <col min="15104" max="15104" width="18" style="4" customWidth="1"/>
    <col min="15105" max="15105" width="29" style="4" bestFit="1" customWidth="1"/>
    <col min="15106" max="15106" width="13.23046875" style="4" bestFit="1" customWidth="1"/>
    <col min="15107" max="15107" width="12.23046875" style="4" bestFit="1" customWidth="1"/>
    <col min="15108" max="15108" width="24.23046875" style="4" bestFit="1" customWidth="1"/>
    <col min="15109" max="15109" width="10.23046875" style="4"/>
    <col min="15110" max="15110" width="14" style="4" customWidth="1"/>
    <col min="15111" max="15111" width="12" style="4" bestFit="1" customWidth="1"/>
    <col min="15112" max="15112" width="11.53515625" style="4" bestFit="1" customWidth="1"/>
    <col min="15113" max="15113" width="25.765625" style="4" customWidth="1"/>
    <col min="15114" max="15359" width="10.23046875" style="4"/>
    <col min="15360" max="15360" width="18" style="4" customWidth="1"/>
    <col min="15361" max="15361" width="29" style="4" bestFit="1" customWidth="1"/>
    <col min="15362" max="15362" width="13.23046875" style="4" bestFit="1" customWidth="1"/>
    <col min="15363" max="15363" width="12.23046875" style="4" bestFit="1" customWidth="1"/>
    <col min="15364" max="15364" width="24.23046875" style="4" bestFit="1" customWidth="1"/>
    <col min="15365" max="15365" width="10.23046875" style="4"/>
    <col min="15366" max="15366" width="14" style="4" customWidth="1"/>
    <col min="15367" max="15367" width="12" style="4" bestFit="1" customWidth="1"/>
    <col min="15368" max="15368" width="11.53515625" style="4" bestFit="1" customWidth="1"/>
    <col min="15369" max="15369" width="25.765625" style="4" customWidth="1"/>
    <col min="15370" max="15615" width="10.23046875" style="4"/>
    <col min="15616" max="15616" width="18" style="4" customWidth="1"/>
    <col min="15617" max="15617" width="29" style="4" bestFit="1" customWidth="1"/>
    <col min="15618" max="15618" width="13.23046875" style="4" bestFit="1" customWidth="1"/>
    <col min="15619" max="15619" width="12.23046875" style="4" bestFit="1" customWidth="1"/>
    <col min="15620" max="15620" width="24.23046875" style="4" bestFit="1" customWidth="1"/>
    <col min="15621" max="15621" width="10.23046875" style="4"/>
    <col min="15622" max="15622" width="14" style="4" customWidth="1"/>
    <col min="15623" max="15623" width="12" style="4" bestFit="1" customWidth="1"/>
    <col min="15624" max="15624" width="11.53515625" style="4" bestFit="1" customWidth="1"/>
    <col min="15625" max="15625" width="25.765625" style="4" customWidth="1"/>
    <col min="15626" max="15871" width="10.23046875" style="4"/>
    <col min="15872" max="15872" width="18" style="4" customWidth="1"/>
    <col min="15873" max="15873" width="29" style="4" bestFit="1" customWidth="1"/>
    <col min="15874" max="15874" width="13.23046875" style="4" bestFit="1" customWidth="1"/>
    <col min="15875" max="15875" width="12.23046875" style="4" bestFit="1" customWidth="1"/>
    <col min="15876" max="15876" width="24.23046875" style="4" bestFit="1" customWidth="1"/>
    <col min="15877" max="15877" width="10.23046875" style="4"/>
    <col min="15878" max="15878" width="14" style="4" customWidth="1"/>
    <col min="15879" max="15879" width="12" style="4" bestFit="1" customWidth="1"/>
    <col min="15880" max="15880" width="11.53515625" style="4" bestFit="1" customWidth="1"/>
    <col min="15881" max="15881" width="25.765625" style="4" customWidth="1"/>
    <col min="15882" max="16127" width="10.23046875" style="4"/>
    <col min="16128" max="16128" width="18" style="4" customWidth="1"/>
    <col min="16129" max="16129" width="29" style="4" bestFit="1" customWidth="1"/>
    <col min="16130" max="16130" width="13.23046875" style="4" bestFit="1" customWidth="1"/>
    <col min="16131" max="16131" width="12.23046875" style="4" bestFit="1" customWidth="1"/>
    <col min="16132" max="16132" width="24.23046875" style="4" bestFit="1" customWidth="1"/>
    <col min="16133" max="16133" width="10.23046875" style="4"/>
    <col min="16134" max="16134" width="14" style="4" customWidth="1"/>
    <col min="16135" max="16135" width="12" style="4" bestFit="1" customWidth="1"/>
    <col min="16136" max="16136" width="11.53515625" style="4" bestFit="1" customWidth="1"/>
    <col min="16137" max="16137" width="25.765625" style="4" customWidth="1"/>
    <col min="16138" max="16384" width="10.23046875" style="4"/>
  </cols>
  <sheetData>
    <row r="1" spans="2:8" ht="15.45" thickBot="1" x14ac:dyDescent="0.4"/>
    <row r="2" spans="2:8" ht="20.149999999999999" thickBot="1" x14ac:dyDescent="0.45">
      <c r="B2" s="164" t="s">
        <v>3</v>
      </c>
      <c r="C2" s="186" t="s">
        <v>499</v>
      </c>
      <c r="D2" s="80"/>
      <c r="E2" s="80"/>
      <c r="F2" s="80"/>
      <c r="G2" s="5"/>
      <c r="H2" s="5"/>
    </row>
    <row r="3" spans="2:8" ht="20.149999999999999" thickBot="1" x14ac:dyDescent="0.4">
      <c r="B3" s="110" t="s">
        <v>470</v>
      </c>
      <c r="C3" s="110">
        <f>$G$10*'داده‌های ورودی'!$D$23</f>
        <v>4055.6486486486483</v>
      </c>
      <c r="D3" s="80"/>
      <c r="E3" s="80"/>
      <c r="F3" s="80"/>
      <c r="G3" s="6"/>
      <c r="H3" s="6"/>
    </row>
    <row r="4" spans="2:8" ht="18.899999999999999" thickBot="1" x14ac:dyDescent="0.4">
      <c r="B4" s="80"/>
      <c r="C4" s="80"/>
      <c r="D4" s="80"/>
      <c r="E4" s="80"/>
      <c r="F4" s="80"/>
      <c r="G4" s="80"/>
      <c r="H4" s="80"/>
    </row>
    <row r="5" spans="2:8" ht="18.45" customHeight="1" x14ac:dyDescent="0.35">
      <c r="B5" s="678" t="s">
        <v>65</v>
      </c>
      <c r="C5" s="641" t="s">
        <v>229</v>
      </c>
      <c r="D5" s="641" t="s">
        <v>1</v>
      </c>
      <c r="E5" s="641" t="s">
        <v>38</v>
      </c>
      <c r="F5" s="158" t="s">
        <v>12</v>
      </c>
      <c r="G5" s="641" t="s">
        <v>10</v>
      </c>
      <c r="H5" s="660" t="s">
        <v>128</v>
      </c>
    </row>
    <row r="6" spans="2:8" ht="19.75" x14ac:dyDescent="0.35">
      <c r="B6" s="679"/>
      <c r="C6" s="642"/>
      <c r="D6" s="642"/>
      <c r="E6" s="642"/>
      <c r="F6" s="161" t="s">
        <v>93</v>
      </c>
      <c r="G6" s="642"/>
      <c r="H6" s="661"/>
    </row>
    <row r="7" spans="2:8" ht="18.45" x14ac:dyDescent="0.35">
      <c r="B7" s="140">
        <v>1</v>
      </c>
      <c r="C7" s="108" t="s">
        <v>530</v>
      </c>
      <c r="D7" s="108">
        <v>1</v>
      </c>
      <c r="E7" s="108" t="s">
        <v>531</v>
      </c>
      <c r="F7" s="383">
        <v>0.35</v>
      </c>
      <c r="G7" s="108">
        <f>'سرمایه ثابت'!$G$304*' زيرساخت اداري'!F7</f>
        <v>986.99999999999989</v>
      </c>
      <c r="H7" s="109" t="s">
        <v>532</v>
      </c>
    </row>
    <row r="8" spans="2:8" ht="18.45" x14ac:dyDescent="0.35">
      <c r="B8" s="140">
        <v>2</v>
      </c>
      <c r="C8" s="108" t="s">
        <v>536</v>
      </c>
      <c r="D8" s="108">
        <v>1</v>
      </c>
      <c r="E8" s="108" t="s">
        <v>531</v>
      </c>
      <c r="F8" s="383">
        <v>0.35</v>
      </c>
      <c r="G8" s="108">
        <f>'سرمایه ثابت'!$G$305*' زيرساخت اداري'!F8</f>
        <v>19950</v>
      </c>
      <c r="H8" s="109" t="s">
        <v>533</v>
      </c>
    </row>
    <row r="9" spans="2:8" ht="18.45" x14ac:dyDescent="0.35">
      <c r="B9" s="140">
        <v>3</v>
      </c>
      <c r="C9" s="108" t="s">
        <v>228</v>
      </c>
      <c r="D9" s="108">
        <v>5</v>
      </c>
      <c r="E9" s="108" t="s">
        <v>230</v>
      </c>
      <c r="F9" s="108" t="s">
        <v>0</v>
      </c>
      <c r="G9" s="108">
        <v>500</v>
      </c>
      <c r="H9" s="109" t="s">
        <v>534</v>
      </c>
    </row>
    <row r="10" spans="2:8" ht="20.149999999999999" thickBot="1" x14ac:dyDescent="0.4">
      <c r="B10" s="825" t="s">
        <v>2</v>
      </c>
      <c r="C10" s="826"/>
      <c r="D10" s="826"/>
      <c r="E10" s="826"/>
      <c r="F10" s="827"/>
      <c r="G10" s="173">
        <f>SUM(G7:G9)</f>
        <v>21437</v>
      </c>
      <c r="H10" s="173"/>
    </row>
  </sheetData>
  <mergeCells count="7">
    <mergeCell ref="H5:H6"/>
    <mergeCell ref="B10:F10"/>
    <mergeCell ref="B5:B6"/>
    <mergeCell ref="C5:C6"/>
    <mergeCell ref="D5:D6"/>
    <mergeCell ref="E5:E6"/>
    <mergeCell ref="G5:G6"/>
  </mergeCells>
  <pageMargins left="0.75" right="0.75" top="0.47" bottom="0.51" header="0.2" footer="0.26"/>
  <pageSetup paperSize="9" scale="94" orientation="landscape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>
    <tabColor theme="9"/>
  </sheetPr>
  <dimension ref="B1:F17"/>
  <sheetViews>
    <sheetView rightToLeft="1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5" style="61" customWidth="1"/>
    <col min="3" max="3" width="29" style="61" bestFit="1" customWidth="1"/>
    <col min="4" max="4" width="18.84375" style="61" bestFit="1" customWidth="1"/>
    <col min="5" max="5" width="16" style="61" customWidth="1"/>
    <col min="6" max="6" width="13" style="61" customWidth="1"/>
    <col min="7" max="16384" width="10.23046875" style="61"/>
  </cols>
  <sheetData>
    <row r="1" spans="2:6" ht="18.899999999999999" thickBot="1" x14ac:dyDescent="0.8"/>
    <row r="2" spans="2:6" ht="20.149999999999999" thickBot="1" x14ac:dyDescent="0.8">
      <c r="C2" s="164" t="s">
        <v>3</v>
      </c>
      <c r="D2" s="186" t="s">
        <v>529</v>
      </c>
    </row>
    <row r="3" spans="2:6" ht="20.149999999999999" thickBot="1" x14ac:dyDescent="0.8">
      <c r="C3" s="110" t="s">
        <v>2</v>
      </c>
      <c r="D3" s="110">
        <f>$F$13</f>
        <v>543205.54854381259</v>
      </c>
    </row>
    <row r="5" spans="2:6" ht="18.899999999999999" thickBot="1" x14ac:dyDescent="0.8"/>
    <row r="6" spans="2:6" ht="15.75" customHeight="1" x14ac:dyDescent="0.75">
      <c r="B6" s="830" t="s">
        <v>65</v>
      </c>
      <c r="C6" s="830" t="s">
        <v>3</v>
      </c>
      <c r="D6" s="165" t="s">
        <v>4</v>
      </c>
      <c r="E6" s="832" t="s">
        <v>502</v>
      </c>
      <c r="F6" s="165" t="s">
        <v>7</v>
      </c>
    </row>
    <row r="7" spans="2:6" ht="20.149999999999999" thickBot="1" x14ac:dyDescent="0.9">
      <c r="B7" s="831"/>
      <c r="C7" s="831"/>
      <c r="D7" s="166" t="s">
        <v>56</v>
      </c>
      <c r="E7" s="831"/>
      <c r="F7" s="166" t="s">
        <v>56</v>
      </c>
    </row>
    <row r="8" spans="2:6" ht="18.899999999999999" thickBot="1" x14ac:dyDescent="0.8">
      <c r="B8" s="63">
        <v>1</v>
      </c>
      <c r="C8" s="64" t="s">
        <v>510</v>
      </c>
      <c r="D8" s="65">
        <f>استهلاك!D8</f>
        <v>311202</v>
      </c>
      <c r="E8" s="69">
        <v>0.13</v>
      </c>
      <c r="F8" s="70">
        <f>E8*D8</f>
        <v>40456.26</v>
      </c>
    </row>
    <row r="9" spans="2:6" ht="18.899999999999999" thickBot="1" x14ac:dyDescent="0.8">
      <c r="B9" s="63">
        <v>2</v>
      </c>
      <c r="C9" s="66" t="s">
        <v>8</v>
      </c>
      <c r="D9" s="65">
        <f>استهلاك!D9</f>
        <v>3569355.4454182214</v>
      </c>
      <c r="E9" s="69">
        <v>0.13</v>
      </c>
      <c r="F9" s="70">
        <f>E9*D9</f>
        <v>464016.20790436881</v>
      </c>
    </row>
    <row r="10" spans="2:6" ht="18.899999999999999" thickBot="1" x14ac:dyDescent="0.8">
      <c r="B10" s="63">
        <v>3</v>
      </c>
      <c r="C10" s="66" t="s">
        <v>28</v>
      </c>
      <c r="D10" s="65">
        <f>استهلاك!D10</f>
        <v>40668.178167288548</v>
      </c>
      <c r="E10" s="69">
        <v>0.13</v>
      </c>
      <c r="F10" s="70">
        <f>E10*D10</f>
        <v>5286.8631617475112</v>
      </c>
    </row>
    <row r="11" spans="2:6" ht="18.899999999999999" thickBot="1" x14ac:dyDescent="0.8">
      <c r="B11" s="63">
        <v>4</v>
      </c>
      <c r="C11" s="66" t="s">
        <v>9</v>
      </c>
      <c r="D11" s="65">
        <f>استهلاك!D11</f>
        <v>58273.230495402888</v>
      </c>
      <c r="E11" s="69">
        <v>0.13</v>
      </c>
      <c r="F11" s="70">
        <f>E11*D11</f>
        <v>7575.519964402376</v>
      </c>
    </row>
    <row r="12" spans="2:6" ht="18.899999999999999" thickBot="1" x14ac:dyDescent="0.8">
      <c r="B12" s="63">
        <v>5</v>
      </c>
      <c r="C12" s="71" t="s">
        <v>29</v>
      </c>
      <c r="D12" s="65">
        <f>استهلاك!D12</f>
        <v>199005.36548687628</v>
      </c>
      <c r="E12" s="69">
        <v>0.13</v>
      </c>
      <c r="F12" s="70">
        <f>E12*D12</f>
        <v>25870.697513293919</v>
      </c>
    </row>
    <row r="13" spans="2:6" ht="20.149999999999999" thickBot="1" x14ac:dyDescent="0.9">
      <c r="B13" s="828" t="s">
        <v>2</v>
      </c>
      <c r="C13" s="829"/>
      <c r="D13" s="183">
        <f>SUM(D8:D12)</f>
        <v>4178504.2195677892</v>
      </c>
      <c r="E13" s="184" t="s">
        <v>0</v>
      </c>
      <c r="F13" s="185">
        <f>SUM(F8:F12)</f>
        <v>543205.54854381259</v>
      </c>
    </row>
    <row r="17" spans="4:4" x14ac:dyDescent="0.75">
      <c r="D17" s="72"/>
    </row>
  </sheetData>
  <mergeCells count="4">
    <mergeCell ref="B13:C13"/>
    <mergeCell ref="C6:C7"/>
    <mergeCell ref="E6:E7"/>
    <mergeCell ref="B6:B7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9"/>
  </sheetPr>
  <dimension ref="B1:G28"/>
  <sheetViews>
    <sheetView rightToLeft="1" zoomScaleNormal="100" workbookViewId="0">
      <selection activeCell="D20" sqref="D20"/>
    </sheetView>
  </sheetViews>
  <sheetFormatPr defaultColWidth="10.23046875" defaultRowHeight="18.45" x14ac:dyDescent="0.75"/>
  <cols>
    <col min="1" max="1" width="10.23046875" style="61"/>
    <col min="2" max="2" width="4.53515625" style="61" customWidth="1"/>
    <col min="3" max="3" width="33.765625" style="61" bestFit="1" customWidth="1"/>
    <col min="4" max="4" width="16.765625" style="61" customWidth="1"/>
    <col min="5" max="5" width="15" style="61" bestFit="1" customWidth="1"/>
    <col min="6" max="6" width="16.53515625" style="61" bestFit="1" customWidth="1"/>
    <col min="7" max="7" width="15.53515625" style="61" bestFit="1" customWidth="1"/>
    <col min="8" max="8" width="11.765625" style="61" bestFit="1" customWidth="1"/>
    <col min="9" max="16384" width="10.23046875" style="61"/>
  </cols>
  <sheetData>
    <row r="1" spans="2:7" ht="18.899999999999999" thickBot="1" x14ac:dyDescent="0.8"/>
    <row r="2" spans="2:7" ht="20.149999999999999" thickBot="1" x14ac:dyDescent="0.8">
      <c r="C2" s="164" t="s">
        <v>3</v>
      </c>
      <c r="D2" s="186" t="s">
        <v>528</v>
      </c>
    </row>
    <row r="3" spans="2:7" ht="20.149999999999999" thickBot="1" x14ac:dyDescent="0.8">
      <c r="C3" s="110" t="s">
        <v>2</v>
      </c>
      <c r="D3" s="110">
        <f>$F$13</f>
        <v>367067.99860295182</v>
      </c>
    </row>
    <row r="5" spans="2:7" ht="18.899999999999999" thickBot="1" x14ac:dyDescent="0.8"/>
    <row r="6" spans="2:7" ht="15.75" customHeight="1" x14ac:dyDescent="0.75">
      <c r="B6" s="837" t="s">
        <v>65</v>
      </c>
      <c r="C6" s="835" t="s">
        <v>3</v>
      </c>
      <c r="D6" s="167" t="s">
        <v>14</v>
      </c>
      <c r="E6" s="796" t="s">
        <v>16</v>
      </c>
      <c r="F6" s="798" t="s">
        <v>15</v>
      </c>
    </row>
    <row r="7" spans="2:7" ht="16.5" customHeight="1" x14ac:dyDescent="0.85">
      <c r="B7" s="838"/>
      <c r="C7" s="836"/>
      <c r="D7" s="170" t="s">
        <v>56</v>
      </c>
      <c r="E7" s="797"/>
      <c r="F7" s="799"/>
    </row>
    <row r="8" spans="2:7" x14ac:dyDescent="0.75">
      <c r="B8" s="144">
        <v>1</v>
      </c>
      <c r="C8" s="104" t="s">
        <v>27</v>
      </c>
      <c r="D8" s="86">
        <f>تعميرات!D4</f>
        <v>311202</v>
      </c>
      <c r="E8" s="380">
        <v>0.1</v>
      </c>
      <c r="F8" s="133">
        <f>(D8-'ارزش قراضه'!F8)*E8</f>
        <v>27074.574000000001</v>
      </c>
    </row>
    <row r="9" spans="2:7" x14ac:dyDescent="0.75">
      <c r="B9" s="144">
        <v>2</v>
      </c>
      <c r="C9" s="143" t="s">
        <v>8</v>
      </c>
      <c r="D9" s="86">
        <f>SUM('سرمایه ثابت'!$G$33,'سرمایه ثابت'!$G$39,'سرمایه ثابت'!$G$45,'سرمایه ثابت'!$G$50,'سرمایه ثابت'!$G$51,'سرمایه ثابت'!$G$54,'سرمایه ثابت'!$G$59)</f>
        <v>3569355.4454182214</v>
      </c>
      <c r="E9" s="380">
        <v>0.1</v>
      </c>
      <c r="F9" s="133">
        <f>(D9-'ارزش قراضه'!F9)*E9</f>
        <v>310533.9237513853</v>
      </c>
    </row>
    <row r="10" spans="2:7" x14ac:dyDescent="0.75">
      <c r="B10" s="144">
        <v>3</v>
      </c>
      <c r="C10" s="143" t="s">
        <v>28</v>
      </c>
      <c r="D10" s="86">
        <f>تعميرات!D11</f>
        <v>40668.178167288548</v>
      </c>
      <c r="E10" s="380">
        <v>0.2</v>
      </c>
      <c r="F10" s="133">
        <f>(D10-'ارزش قراضه'!F10)*E10</f>
        <v>7076.2630011082074</v>
      </c>
    </row>
    <row r="11" spans="2:7" x14ac:dyDescent="0.75">
      <c r="B11" s="144">
        <v>4</v>
      </c>
      <c r="C11" s="143" t="s">
        <v>9</v>
      </c>
      <c r="D11" s="86">
        <f>تعميرات!D12</f>
        <v>58273.230495402888</v>
      </c>
      <c r="E11" s="380">
        <v>0.1</v>
      </c>
      <c r="F11" s="133">
        <f>(D11-'ارزش قراضه'!F11)*E11</f>
        <v>5069.7710531000521</v>
      </c>
    </row>
    <row r="12" spans="2:7" x14ac:dyDescent="0.75">
      <c r="B12" s="144">
        <v>5</v>
      </c>
      <c r="C12" s="143" t="s">
        <v>29</v>
      </c>
      <c r="D12" s="86">
        <f>'سرمایه ثابت'!$G$72</f>
        <v>199005.36548687628</v>
      </c>
      <c r="E12" s="380">
        <v>0.1</v>
      </c>
      <c r="F12" s="133">
        <f>(D12-'ارزش قراضه'!F12)*E12</f>
        <v>17313.466797358236</v>
      </c>
    </row>
    <row r="13" spans="2:7" ht="20.149999999999999" thickBot="1" x14ac:dyDescent="0.9">
      <c r="B13" s="833" t="s">
        <v>2</v>
      </c>
      <c r="C13" s="834"/>
      <c r="D13" s="180">
        <f>SUM(D8:D12)</f>
        <v>4178504.2195677892</v>
      </c>
      <c r="E13" s="181" t="s">
        <v>0</v>
      </c>
      <c r="F13" s="182">
        <f>SUM(F8:F12)</f>
        <v>367067.99860295182</v>
      </c>
      <c r="G13" s="21"/>
    </row>
    <row r="14" spans="2:7" x14ac:dyDescent="0.75">
      <c r="C14" s="62"/>
      <c r="D14" s="73"/>
    </row>
    <row r="15" spans="2:7" x14ac:dyDescent="0.75">
      <c r="C15" s="62"/>
      <c r="D15" s="73"/>
    </row>
    <row r="16" spans="2:7" x14ac:dyDescent="0.75">
      <c r="C16" s="62"/>
      <c r="D16" s="73"/>
      <c r="E16" s="72"/>
    </row>
    <row r="17" spans="3:6" x14ac:dyDescent="0.75">
      <c r="C17" s="62"/>
      <c r="D17" s="73"/>
    </row>
    <row r="18" spans="3:6" x14ac:dyDescent="0.75">
      <c r="C18" s="62"/>
      <c r="D18" s="73"/>
    </row>
    <row r="19" spans="3:6" x14ac:dyDescent="0.75">
      <c r="C19" s="62"/>
      <c r="D19" s="73"/>
    </row>
    <row r="20" spans="3:6" x14ac:dyDescent="0.75">
      <c r="C20" s="62"/>
      <c r="D20" s="73"/>
      <c r="F20" s="72"/>
    </row>
    <row r="21" spans="3:6" x14ac:dyDescent="0.75">
      <c r="C21" s="62"/>
      <c r="D21" s="73"/>
    </row>
    <row r="22" spans="3:6" x14ac:dyDescent="0.75">
      <c r="C22" s="62"/>
      <c r="D22" s="73"/>
    </row>
    <row r="23" spans="3:6" x14ac:dyDescent="0.75">
      <c r="C23" s="62"/>
      <c r="D23" s="73"/>
    </row>
    <row r="24" spans="3:6" x14ac:dyDescent="0.75">
      <c r="C24" s="62"/>
      <c r="D24" s="73"/>
    </row>
    <row r="25" spans="3:6" x14ac:dyDescent="0.75">
      <c r="C25" s="62"/>
      <c r="D25" s="73"/>
    </row>
    <row r="26" spans="3:6" x14ac:dyDescent="0.75">
      <c r="C26" s="62"/>
      <c r="D26" s="73"/>
    </row>
    <row r="27" spans="3:6" x14ac:dyDescent="0.75">
      <c r="C27" s="62"/>
      <c r="D27" s="73"/>
    </row>
    <row r="28" spans="3:6" x14ac:dyDescent="0.75">
      <c r="C28" s="62"/>
      <c r="D28" s="73"/>
    </row>
  </sheetData>
  <mergeCells count="5">
    <mergeCell ref="B13:C13"/>
    <mergeCell ref="C6:C7"/>
    <mergeCell ref="E6:E7"/>
    <mergeCell ref="F6:F7"/>
    <mergeCell ref="B6:B7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9295-3C20-4AD8-9F6E-E874AB2AC748}">
  <sheetPr>
    <tabColor theme="9"/>
  </sheetPr>
  <dimension ref="B1:F4"/>
  <sheetViews>
    <sheetView rightToLeft="1" workbookViewId="0">
      <selection activeCell="E5" sqref="E5"/>
    </sheetView>
  </sheetViews>
  <sheetFormatPr defaultRowHeight="12.45" x14ac:dyDescent="0.3"/>
  <cols>
    <col min="3" max="3" width="21.07421875" customWidth="1"/>
    <col min="4" max="4" width="14.765625" customWidth="1"/>
    <col min="5" max="5" width="11.765625" bestFit="1" customWidth="1"/>
    <col min="6" max="6" width="18" customWidth="1"/>
  </cols>
  <sheetData>
    <row r="1" spans="2:6" ht="12.9" thickBot="1" x14ac:dyDescent="0.35"/>
    <row r="2" spans="2:6" ht="16.75" x14ac:dyDescent="0.75">
      <c r="B2" s="837" t="s">
        <v>65</v>
      </c>
      <c r="C2" s="835" t="s">
        <v>3</v>
      </c>
      <c r="D2" s="167" t="s">
        <v>448</v>
      </c>
      <c r="E2" s="796" t="s">
        <v>446</v>
      </c>
      <c r="F2" s="798" t="s">
        <v>447</v>
      </c>
    </row>
    <row r="3" spans="2:6" ht="19.75" x14ac:dyDescent="0.85">
      <c r="B3" s="838"/>
      <c r="C3" s="836"/>
      <c r="D3" s="170" t="s">
        <v>56</v>
      </c>
      <c r="E3" s="797"/>
      <c r="F3" s="799"/>
    </row>
    <row r="4" spans="2:6" ht="20.149999999999999" thickBot="1" x14ac:dyDescent="0.35">
      <c r="B4" s="175">
        <v>1</v>
      </c>
      <c r="C4" s="176" t="s">
        <v>445</v>
      </c>
      <c r="D4" s="177">
        <f>'سرمایه ثابت'!$F$5*میلیون</f>
        <v>4283347.7805270469</v>
      </c>
      <c r="E4" s="178">
        <v>0</v>
      </c>
      <c r="F4" s="179">
        <f>$D$4*$E$4</f>
        <v>0</v>
      </c>
    </row>
  </sheetData>
  <mergeCells count="4">
    <mergeCell ref="C2:C3"/>
    <mergeCell ref="E2:E3"/>
    <mergeCell ref="F2:F3"/>
    <mergeCell ref="B2:B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B1:O12"/>
  <sheetViews>
    <sheetView rightToLeft="1" zoomScaleNormal="100" zoomScaleSheetLayoutView="145" workbookViewId="0">
      <selection activeCell="D20" sqref="D20"/>
    </sheetView>
  </sheetViews>
  <sheetFormatPr defaultColWidth="10.23046875" defaultRowHeight="15" x14ac:dyDescent="0.35"/>
  <cols>
    <col min="1" max="2" width="10.23046875" style="7"/>
    <col min="3" max="3" width="29.53515625" style="7" bestFit="1" customWidth="1"/>
    <col min="4" max="4" width="16.23046875" style="8" customWidth="1"/>
    <col min="5" max="5" width="13.765625" style="7" bestFit="1" customWidth="1"/>
    <col min="6" max="247" width="10.23046875" style="7"/>
    <col min="248" max="248" width="3.53515625" style="7" customWidth="1"/>
    <col min="249" max="249" width="29" style="7" bestFit="1" customWidth="1"/>
    <col min="250" max="250" width="12.23046875" style="7" bestFit="1" customWidth="1"/>
    <col min="251" max="251" width="17" style="7" customWidth="1"/>
    <col min="252" max="252" width="17.23046875" style="7" bestFit="1" customWidth="1"/>
    <col min="253" max="503" width="10.23046875" style="7"/>
    <col min="504" max="504" width="3.53515625" style="7" customWidth="1"/>
    <col min="505" max="505" width="29" style="7" bestFit="1" customWidth="1"/>
    <col min="506" max="506" width="12.23046875" style="7" bestFit="1" customWidth="1"/>
    <col min="507" max="507" width="17" style="7" customWidth="1"/>
    <col min="508" max="508" width="17.23046875" style="7" bestFit="1" customWidth="1"/>
    <col min="509" max="759" width="10.23046875" style="7"/>
    <col min="760" max="760" width="3.53515625" style="7" customWidth="1"/>
    <col min="761" max="761" width="29" style="7" bestFit="1" customWidth="1"/>
    <col min="762" max="762" width="12.23046875" style="7" bestFit="1" customWidth="1"/>
    <col min="763" max="763" width="17" style="7" customWidth="1"/>
    <col min="764" max="764" width="17.23046875" style="7" bestFit="1" customWidth="1"/>
    <col min="765" max="1015" width="10.23046875" style="7"/>
    <col min="1016" max="1016" width="3.53515625" style="7" customWidth="1"/>
    <col min="1017" max="1017" width="29" style="7" bestFit="1" customWidth="1"/>
    <col min="1018" max="1018" width="12.23046875" style="7" bestFit="1" customWidth="1"/>
    <col min="1019" max="1019" width="17" style="7" customWidth="1"/>
    <col min="1020" max="1020" width="17.23046875" style="7" bestFit="1" customWidth="1"/>
    <col min="1021" max="1271" width="10.23046875" style="7"/>
    <col min="1272" max="1272" width="3.53515625" style="7" customWidth="1"/>
    <col min="1273" max="1273" width="29" style="7" bestFit="1" customWidth="1"/>
    <col min="1274" max="1274" width="12.23046875" style="7" bestFit="1" customWidth="1"/>
    <col min="1275" max="1275" width="17" style="7" customWidth="1"/>
    <col min="1276" max="1276" width="17.23046875" style="7" bestFit="1" customWidth="1"/>
    <col min="1277" max="1527" width="10.23046875" style="7"/>
    <col min="1528" max="1528" width="3.53515625" style="7" customWidth="1"/>
    <col min="1529" max="1529" width="29" style="7" bestFit="1" customWidth="1"/>
    <col min="1530" max="1530" width="12.23046875" style="7" bestFit="1" customWidth="1"/>
    <col min="1531" max="1531" width="17" style="7" customWidth="1"/>
    <col min="1532" max="1532" width="17.23046875" style="7" bestFit="1" customWidth="1"/>
    <col min="1533" max="1783" width="10.23046875" style="7"/>
    <col min="1784" max="1784" width="3.53515625" style="7" customWidth="1"/>
    <col min="1785" max="1785" width="29" style="7" bestFit="1" customWidth="1"/>
    <col min="1786" max="1786" width="12.23046875" style="7" bestFit="1" customWidth="1"/>
    <col min="1787" max="1787" width="17" style="7" customWidth="1"/>
    <col min="1788" max="1788" width="17.23046875" style="7" bestFit="1" customWidth="1"/>
    <col min="1789" max="2039" width="10.23046875" style="7"/>
    <col min="2040" max="2040" width="3.53515625" style="7" customWidth="1"/>
    <col min="2041" max="2041" width="29" style="7" bestFit="1" customWidth="1"/>
    <col min="2042" max="2042" width="12.23046875" style="7" bestFit="1" customWidth="1"/>
    <col min="2043" max="2043" width="17" style="7" customWidth="1"/>
    <col min="2044" max="2044" width="17.23046875" style="7" bestFit="1" customWidth="1"/>
    <col min="2045" max="2295" width="10.23046875" style="7"/>
    <col min="2296" max="2296" width="3.53515625" style="7" customWidth="1"/>
    <col min="2297" max="2297" width="29" style="7" bestFit="1" customWidth="1"/>
    <col min="2298" max="2298" width="12.23046875" style="7" bestFit="1" customWidth="1"/>
    <col min="2299" max="2299" width="17" style="7" customWidth="1"/>
    <col min="2300" max="2300" width="17.23046875" style="7" bestFit="1" customWidth="1"/>
    <col min="2301" max="2551" width="10.23046875" style="7"/>
    <col min="2552" max="2552" width="3.53515625" style="7" customWidth="1"/>
    <col min="2553" max="2553" width="29" style="7" bestFit="1" customWidth="1"/>
    <col min="2554" max="2554" width="12.23046875" style="7" bestFit="1" customWidth="1"/>
    <col min="2555" max="2555" width="17" style="7" customWidth="1"/>
    <col min="2556" max="2556" width="17.23046875" style="7" bestFit="1" customWidth="1"/>
    <col min="2557" max="2807" width="10.23046875" style="7"/>
    <col min="2808" max="2808" width="3.53515625" style="7" customWidth="1"/>
    <col min="2809" max="2809" width="29" style="7" bestFit="1" customWidth="1"/>
    <col min="2810" max="2810" width="12.23046875" style="7" bestFit="1" customWidth="1"/>
    <col min="2811" max="2811" width="17" style="7" customWidth="1"/>
    <col min="2812" max="2812" width="17.23046875" style="7" bestFit="1" customWidth="1"/>
    <col min="2813" max="3063" width="10.23046875" style="7"/>
    <col min="3064" max="3064" width="3.53515625" style="7" customWidth="1"/>
    <col min="3065" max="3065" width="29" style="7" bestFit="1" customWidth="1"/>
    <col min="3066" max="3066" width="12.23046875" style="7" bestFit="1" customWidth="1"/>
    <col min="3067" max="3067" width="17" style="7" customWidth="1"/>
    <col min="3068" max="3068" width="17.23046875" style="7" bestFit="1" customWidth="1"/>
    <col min="3069" max="3319" width="10.23046875" style="7"/>
    <col min="3320" max="3320" width="3.53515625" style="7" customWidth="1"/>
    <col min="3321" max="3321" width="29" style="7" bestFit="1" customWidth="1"/>
    <col min="3322" max="3322" width="12.23046875" style="7" bestFit="1" customWidth="1"/>
    <col min="3323" max="3323" width="17" style="7" customWidth="1"/>
    <col min="3324" max="3324" width="17.23046875" style="7" bestFit="1" customWidth="1"/>
    <col min="3325" max="3575" width="10.23046875" style="7"/>
    <col min="3576" max="3576" width="3.53515625" style="7" customWidth="1"/>
    <col min="3577" max="3577" width="29" style="7" bestFit="1" customWidth="1"/>
    <col min="3578" max="3578" width="12.23046875" style="7" bestFit="1" customWidth="1"/>
    <col min="3579" max="3579" width="17" style="7" customWidth="1"/>
    <col min="3580" max="3580" width="17.23046875" style="7" bestFit="1" customWidth="1"/>
    <col min="3581" max="3831" width="10.23046875" style="7"/>
    <col min="3832" max="3832" width="3.53515625" style="7" customWidth="1"/>
    <col min="3833" max="3833" width="29" style="7" bestFit="1" customWidth="1"/>
    <col min="3834" max="3834" width="12.23046875" style="7" bestFit="1" customWidth="1"/>
    <col min="3835" max="3835" width="17" style="7" customWidth="1"/>
    <col min="3836" max="3836" width="17.23046875" style="7" bestFit="1" customWidth="1"/>
    <col min="3837" max="4087" width="10.23046875" style="7"/>
    <col min="4088" max="4088" width="3.53515625" style="7" customWidth="1"/>
    <col min="4089" max="4089" width="29" style="7" bestFit="1" customWidth="1"/>
    <col min="4090" max="4090" width="12.23046875" style="7" bestFit="1" customWidth="1"/>
    <col min="4091" max="4091" width="17" style="7" customWidth="1"/>
    <col min="4092" max="4092" width="17.23046875" style="7" bestFit="1" customWidth="1"/>
    <col min="4093" max="4343" width="10.23046875" style="7"/>
    <col min="4344" max="4344" width="3.53515625" style="7" customWidth="1"/>
    <col min="4345" max="4345" width="29" style="7" bestFit="1" customWidth="1"/>
    <col min="4346" max="4346" width="12.23046875" style="7" bestFit="1" customWidth="1"/>
    <col min="4347" max="4347" width="17" style="7" customWidth="1"/>
    <col min="4348" max="4348" width="17.23046875" style="7" bestFit="1" customWidth="1"/>
    <col min="4349" max="4599" width="10.23046875" style="7"/>
    <col min="4600" max="4600" width="3.53515625" style="7" customWidth="1"/>
    <col min="4601" max="4601" width="29" style="7" bestFit="1" customWidth="1"/>
    <col min="4602" max="4602" width="12.23046875" style="7" bestFit="1" customWidth="1"/>
    <col min="4603" max="4603" width="17" style="7" customWidth="1"/>
    <col min="4604" max="4604" width="17.23046875" style="7" bestFit="1" customWidth="1"/>
    <col min="4605" max="4855" width="10.23046875" style="7"/>
    <col min="4856" max="4856" width="3.53515625" style="7" customWidth="1"/>
    <col min="4857" max="4857" width="29" style="7" bestFit="1" customWidth="1"/>
    <col min="4858" max="4858" width="12.23046875" style="7" bestFit="1" customWidth="1"/>
    <col min="4859" max="4859" width="17" style="7" customWidth="1"/>
    <col min="4860" max="4860" width="17.23046875" style="7" bestFit="1" customWidth="1"/>
    <col min="4861" max="5111" width="10.23046875" style="7"/>
    <col min="5112" max="5112" width="3.53515625" style="7" customWidth="1"/>
    <col min="5113" max="5113" width="29" style="7" bestFit="1" customWidth="1"/>
    <col min="5114" max="5114" width="12.23046875" style="7" bestFit="1" customWidth="1"/>
    <col min="5115" max="5115" width="17" style="7" customWidth="1"/>
    <col min="5116" max="5116" width="17.23046875" style="7" bestFit="1" customWidth="1"/>
    <col min="5117" max="5367" width="10.23046875" style="7"/>
    <col min="5368" max="5368" width="3.53515625" style="7" customWidth="1"/>
    <col min="5369" max="5369" width="29" style="7" bestFit="1" customWidth="1"/>
    <col min="5370" max="5370" width="12.23046875" style="7" bestFit="1" customWidth="1"/>
    <col min="5371" max="5371" width="17" style="7" customWidth="1"/>
    <col min="5372" max="5372" width="17.23046875" style="7" bestFit="1" customWidth="1"/>
    <col min="5373" max="5623" width="10.23046875" style="7"/>
    <col min="5624" max="5624" width="3.53515625" style="7" customWidth="1"/>
    <col min="5625" max="5625" width="29" style="7" bestFit="1" customWidth="1"/>
    <col min="5626" max="5626" width="12.23046875" style="7" bestFit="1" customWidth="1"/>
    <col min="5627" max="5627" width="17" style="7" customWidth="1"/>
    <col min="5628" max="5628" width="17.23046875" style="7" bestFit="1" customWidth="1"/>
    <col min="5629" max="5879" width="10.23046875" style="7"/>
    <col min="5880" max="5880" width="3.53515625" style="7" customWidth="1"/>
    <col min="5881" max="5881" width="29" style="7" bestFit="1" customWidth="1"/>
    <col min="5882" max="5882" width="12.23046875" style="7" bestFit="1" customWidth="1"/>
    <col min="5883" max="5883" width="17" style="7" customWidth="1"/>
    <col min="5884" max="5884" width="17.23046875" style="7" bestFit="1" customWidth="1"/>
    <col min="5885" max="6135" width="10.23046875" style="7"/>
    <col min="6136" max="6136" width="3.53515625" style="7" customWidth="1"/>
    <col min="6137" max="6137" width="29" style="7" bestFit="1" customWidth="1"/>
    <col min="6138" max="6138" width="12.23046875" style="7" bestFit="1" customWidth="1"/>
    <col min="6139" max="6139" width="17" style="7" customWidth="1"/>
    <col min="6140" max="6140" width="17.23046875" style="7" bestFit="1" customWidth="1"/>
    <col min="6141" max="6391" width="10.23046875" style="7"/>
    <col min="6392" max="6392" width="3.53515625" style="7" customWidth="1"/>
    <col min="6393" max="6393" width="29" style="7" bestFit="1" customWidth="1"/>
    <col min="6394" max="6394" width="12.23046875" style="7" bestFit="1" customWidth="1"/>
    <col min="6395" max="6395" width="17" style="7" customWidth="1"/>
    <col min="6396" max="6396" width="17.23046875" style="7" bestFit="1" customWidth="1"/>
    <col min="6397" max="6647" width="10.23046875" style="7"/>
    <col min="6648" max="6648" width="3.53515625" style="7" customWidth="1"/>
    <col min="6649" max="6649" width="29" style="7" bestFit="1" customWidth="1"/>
    <col min="6650" max="6650" width="12.23046875" style="7" bestFit="1" customWidth="1"/>
    <col min="6651" max="6651" width="17" style="7" customWidth="1"/>
    <col min="6652" max="6652" width="17.23046875" style="7" bestFit="1" customWidth="1"/>
    <col min="6653" max="6903" width="10.23046875" style="7"/>
    <col min="6904" max="6904" width="3.53515625" style="7" customWidth="1"/>
    <col min="6905" max="6905" width="29" style="7" bestFit="1" customWidth="1"/>
    <col min="6906" max="6906" width="12.23046875" style="7" bestFit="1" customWidth="1"/>
    <col min="6907" max="6907" width="17" style="7" customWidth="1"/>
    <col min="6908" max="6908" width="17.23046875" style="7" bestFit="1" customWidth="1"/>
    <col min="6909" max="7159" width="10.23046875" style="7"/>
    <col min="7160" max="7160" width="3.53515625" style="7" customWidth="1"/>
    <col min="7161" max="7161" width="29" style="7" bestFit="1" customWidth="1"/>
    <col min="7162" max="7162" width="12.23046875" style="7" bestFit="1" customWidth="1"/>
    <col min="7163" max="7163" width="17" style="7" customWidth="1"/>
    <col min="7164" max="7164" width="17.23046875" style="7" bestFit="1" customWidth="1"/>
    <col min="7165" max="7415" width="10.23046875" style="7"/>
    <col min="7416" max="7416" width="3.53515625" style="7" customWidth="1"/>
    <col min="7417" max="7417" width="29" style="7" bestFit="1" customWidth="1"/>
    <col min="7418" max="7418" width="12.23046875" style="7" bestFit="1" customWidth="1"/>
    <col min="7419" max="7419" width="17" style="7" customWidth="1"/>
    <col min="7420" max="7420" width="17.23046875" style="7" bestFit="1" customWidth="1"/>
    <col min="7421" max="7671" width="10.23046875" style="7"/>
    <col min="7672" max="7672" width="3.53515625" style="7" customWidth="1"/>
    <col min="7673" max="7673" width="29" style="7" bestFit="1" customWidth="1"/>
    <col min="7674" max="7674" width="12.23046875" style="7" bestFit="1" customWidth="1"/>
    <col min="7675" max="7675" width="17" style="7" customWidth="1"/>
    <col min="7676" max="7676" width="17.23046875" style="7" bestFit="1" customWidth="1"/>
    <col min="7677" max="7927" width="10.23046875" style="7"/>
    <col min="7928" max="7928" width="3.53515625" style="7" customWidth="1"/>
    <col min="7929" max="7929" width="29" style="7" bestFit="1" customWidth="1"/>
    <col min="7930" max="7930" width="12.23046875" style="7" bestFit="1" customWidth="1"/>
    <col min="7931" max="7931" width="17" style="7" customWidth="1"/>
    <col min="7932" max="7932" width="17.23046875" style="7" bestFit="1" customWidth="1"/>
    <col min="7933" max="8183" width="10.23046875" style="7"/>
    <col min="8184" max="8184" width="3.53515625" style="7" customWidth="1"/>
    <col min="8185" max="8185" width="29" style="7" bestFit="1" customWidth="1"/>
    <col min="8186" max="8186" width="12.23046875" style="7" bestFit="1" customWidth="1"/>
    <col min="8187" max="8187" width="17" style="7" customWidth="1"/>
    <col min="8188" max="8188" width="17.23046875" style="7" bestFit="1" customWidth="1"/>
    <col min="8189" max="8439" width="10.23046875" style="7"/>
    <col min="8440" max="8440" width="3.53515625" style="7" customWidth="1"/>
    <col min="8441" max="8441" width="29" style="7" bestFit="1" customWidth="1"/>
    <col min="8442" max="8442" width="12.23046875" style="7" bestFit="1" customWidth="1"/>
    <col min="8443" max="8443" width="17" style="7" customWidth="1"/>
    <col min="8444" max="8444" width="17.23046875" style="7" bestFit="1" customWidth="1"/>
    <col min="8445" max="8695" width="10.23046875" style="7"/>
    <col min="8696" max="8696" width="3.53515625" style="7" customWidth="1"/>
    <col min="8697" max="8697" width="29" style="7" bestFit="1" customWidth="1"/>
    <col min="8698" max="8698" width="12.23046875" style="7" bestFit="1" customWidth="1"/>
    <col min="8699" max="8699" width="17" style="7" customWidth="1"/>
    <col min="8700" max="8700" width="17.23046875" style="7" bestFit="1" customWidth="1"/>
    <col min="8701" max="8951" width="10.23046875" style="7"/>
    <col min="8952" max="8952" width="3.53515625" style="7" customWidth="1"/>
    <col min="8953" max="8953" width="29" style="7" bestFit="1" customWidth="1"/>
    <col min="8954" max="8954" width="12.23046875" style="7" bestFit="1" customWidth="1"/>
    <col min="8955" max="8955" width="17" style="7" customWidth="1"/>
    <col min="8956" max="8956" width="17.23046875" style="7" bestFit="1" customWidth="1"/>
    <col min="8957" max="9207" width="10.23046875" style="7"/>
    <col min="9208" max="9208" width="3.53515625" style="7" customWidth="1"/>
    <col min="9209" max="9209" width="29" style="7" bestFit="1" customWidth="1"/>
    <col min="9210" max="9210" width="12.23046875" style="7" bestFit="1" customWidth="1"/>
    <col min="9211" max="9211" width="17" style="7" customWidth="1"/>
    <col min="9212" max="9212" width="17.23046875" style="7" bestFit="1" customWidth="1"/>
    <col min="9213" max="9463" width="10.23046875" style="7"/>
    <col min="9464" max="9464" width="3.53515625" style="7" customWidth="1"/>
    <col min="9465" max="9465" width="29" style="7" bestFit="1" customWidth="1"/>
    <col min="9466" max="9466" width="12.23046875" style="7" bestFit="1" customWidth="1"/>
    <col min="9467" max="9467" width="17" style="7" customWidth="1"/>
    <col min="9468" max="9468" width="17.23046875" style="7" bestFit="1" customWidth="1"/>
    <col min="9469" max="9719" width="10.23046875" style="7"/>
    <col min="9720" max="9720" width="3.53515625" style="7" customWidth="1"/>
    <col min="9721" max="9721" width="29" style="7" bestFit="1" customWidth="1"/>
    <col min="9722" max="9722" width="12.23046875" style="7" bestFit="1" customWidth="1"/>
    <col min="9723" max="9723" width="17" style="7" customWidth="1"/>
    <col min="9724" max="9724" width="17.23046875" style="7" bestFit="1" customWidth="1"/>
    <col min="9725" max="9975" width="10.23046875" style="7"/>
    <col min="9976" max="9976" width="3.53515625" style="7" customWidth="1"/>
    <col min="9977" max="9977" width="29" style="7" bestFit="1" customWidth="1"/>
    <col min="9978" max="9978" width="12.23046875" style="7" bestFit="1" customWidth="1"/>
    <col min="9979" max="9979" width="17" style="7" customWidth="1"/>
    <col min="9980" max="9980" width="17.23046875" style="7" bestFit="1" customWidth="1"/>
    <col min="9981" max="10231" width="10.23046875" style="7"/>
    <col min="10232" max="10232" width="3.53515625" style="7" customWidth="1"/>
    <col min="10233" max="10233" width="29" style="7" bestFit="1" customWidth="1"/>
    <col min="10234" max="10234" width="12.23046875" style="7" bestFit="1" customWidth="1"/>
    <col min="10235" max="10235" width="17" style="7" customWidth="1"/>
    <col min="10236" max="10236" width="17.23046875" style="7" bestFit="1" customWidth="1"/>
    <col min="10237" max="10487" width="10.23046875" style="7"/>
    <col min="10488" max="10488" width="3.53515625" style="7" customWidth="1"/>
    <col min="10489" max="10489" width="29" style="7" bestFit="1" customWidth="1"/>
    <col min="10490" max="10490" width="12.23046875" style="7" bestFit="1" customWidth="1"/>
    <col min="10491" max="10491" width="17" style="7" customWidth="1"/>
    <col min="10492" max="10492" width="17.23046875" style="7" bestFit="1" customWidth="1"/>
    <col min="10493" max="10743" width="10.23046875" style="7"/>
    <col min="10744" max="10744" width="3.53515625" style="7" customWidth="1"/>
    <col min="10745" max="10745" width="29" style="7" bestFit="1" customWidth="1"/>
    <col min="10746" max="10746" width="12.23046875" style="7" bestFit="1" customWidth="1"/>
    <col min="10747" max="10747" width="17" style="7" customWidth="1"/>
    <col min="10748" max="10748" width="17.23046875" style="7" bestFit="1" customWidth="1"/>
    <col min="10749" max="10999" width="10.23046875" style="7"/>
    <col min="11000" max="11000" width="3.53515625" style="7" customWidth="1"/>
    <col min="11001" max="11001" width="29" style="7" bestFit="1" customWidth="1"/>
    <col min="11002" max="11002" width="12.23046875" style="7" bestFit="1" customWidth="1"/>
    <col min="11003" max="11003" width="17" style="7" customWidth="1"/>
    <col min="11004" max="11004" width="17.23046875" style="7" bestFit="1" customWidth="1"/>
    <col min="11005" max="11255" width="10.23046875" style="7"/>
    <col min="11256" max="11256" width="3.53515625" style="7" customWidth="1"/>
    <col min="11257" max="11257" width="29" style="7" bestFit="1" customWidth="1"/>
    <col min="11258" max="11258" width="12.23046875" style="7" bestFit="1" customWidth="1"/>
    <col min="11259" max="11259" width="17" style="7" customWidth="1"/>
    <col min="11260" max="11260" width="17.23046875" style="7" bestFit="1" customWidth="1"/>
    <col min="11261" max="11511" width="10.23046875" style="7"/>
    <col min="11512" max="11512" width="3.53515625" style="7" customWidth="1"/>
    <col min="11513" max="11513" width="29" style="7" bestFit="1" customWidth="1"/>
    <col min="11514" max="11514" width="12.23046875" style="7" bestFit="1" customWidth="1"/>
    <col min="11515" max="11515" width="17" style="7" customWidth="1"/>
    <col min="11516" max="11516" width="17.23046875" style="7" bestFit="1" customWidth="1"/>
    <col min="11517" max="11767" width="10.23046875" style="7"/>
    <col min="11768" max="11768" width="3.53515625" style="7" customWidth="1"/>
    <col min="11769" max="11769" width="29" style="7" bestFit="1" customWidth="1"/>
    <col min="11770" max="11770" width="12.23046875" style="7" bestFit="1" customWidth="1"/>
    <col min="11771" max="11771" width="17" style="7" customWidth="1"/>
    <col min="11772" max="11772" width="17.23046875" style="7" bestFit="1" customWidth="1"/>
    <col min="11773" max="12023" width="10.23046875" style="7"/>
    <col min="12024" max="12024" width="3.53515625" style="7" customWidth="1"/>
    <col min="12025" max="12025" width="29" style="7" bestFit="1" customWidth="1"/>
    <col min="12026" max="12026" width="12.23046875" style="7" bestFit="1" customWidth="1"/>
    <col min="12027" max="12027" width="17" style="7" customWidth="1"/>
    <col min="12028" max="12028" width="17.23046875" style="7" bestFit="1" customWidth="1"/>
    <col min="12029" max="12279" width="10.23046875" style="7"/>
    <col min="12280" max="12280" width="3.53515625" style="7" customWidth="1"/>
    <col min="12281" max="12281" width="29" style="7" bestFit="1" customWidth="1"/>
    <col min="12282" max="12282" width="12.23046875" style="7" bestFit="1" customWidth="1"/>
    <col min="12283" max="12283" width="17" style="7" customWidth="1"/>
    <col min="12284" max="12284" width="17.23046875" style="7" bestFit="1" customWidth="1"/>
    <col min="12285" max="12535" width="10.23046875" style="7"/>
    <col min="12536" max="12536" width="3.53515625" style="7" customWidth="1"/>
    <col min="12537" max="12537" width="29" style="7" bestFit="1" customWidth="1"/>
    <col min="12538" max="12538" width="12.23046875" style="7" bestFit="1" customWidth="1"/>
    <col min="12539" max="12539" width="17" style="7" customWidth="1"/>
    <col min="12540" max="12540" width="17.23046875" style="7" bestFit="1" customWidth="1"/>
    <col min="12541" max="12791" width="10.23046875" style="7"/>
    <col min="12792" max="12792" width="3.53515625" style="7" customWidth="1"/>
    <col min="12793" max="12793" width="29" style="7" bestFit="1" customWidth="1"/>
    <col min="12794" max="12794" width="12.23046875" style="7" bestFit="1" customWidth="1"/>
    <col min="12795" max="12795" width="17" style="7" customWidth="1"/>
    <col min="12796" max="12796" width="17.23046875" style="7" bestFit="1" customWidth="1"/>
    <col min="12797" max="13047" width="10.23046875" style="7"/>
    <col min="13048" max="13048" width="3.53515625" style="7" customWidth="1"/>
    <col min="13049" max="13049" width="29" style="7" bestFit="1" customWidth="1"/>
    <col min="13050" max="13050" width="12.23046875" style="7" bestFit="1" customWidth="1"/>
    <col min="13051" max="13051" width="17" style="7" customWidth="1"/>
    <col min="13052" max="13052" width="17.23046875" style="7" bestFit="1" customWidth="1"/>
    <col min="13053" max="13303" width="10.23046875" style="7"/>
    <col min="13304" max="13304" width="3.53515625" style="7" customWidth="1"/>
    <col min="13305" max="13305" width="29" style="7" bestFit="1" customWidth="1"/>
    <col min="13306" max="13306" width="12.23046875" style="7" bestFit="1" customWidth="1"/>
    <col min="13307" max="13307" width="17" style="7" customWidth="1"/>
    <col min="13308" max="13308" width="17.23046875" style="7" bestFit="1" customWidth="1"/>
    <col min="13309" max="13559" width="10.23046875" style="7"/>
    <col min="13560" max="13560" width="3.53515625" style="7" customWidth="1"/>
    <col min="13561" max="13561" width="29" style="7" bestFit="1" customWidth="1"/>
    <col min="13562" max="13562" width="12.23046875" style="7" bestFit="1" customWidth="1"/>
    <col min="13563" max="13563" width="17" style="7" customWidth="1"/>
    <col min="13564" max="13564" width="17.23046875" style="7" bestFit="1" customWidth="1"/>
    <col min="13565" max="13815" width="10.23046875" style="7"/>
    <col min="13816" max="13816" width="3.53515625" style="7" customWidth="1"/>
    <col min="13817" max="13817" width="29" style="7" bestFit="1" customWidth="1"/>
    <col min="13818" max="13818" width="12.23046875" style="7" bestFit="1" customWidth="1"/>
    <col min="13819" max="13819" width="17" style="7" customWidth="1"/>
    <col min="13820" max="13820" width="17.23046875" style="7" bestFit="1" customWidth="1"/>
    <col min="13821" max="14071" width="10.23046875" style="7"/>
    <col min="14072" max="14072" width="3.53515625" style="7" customWidth="1"/>
    <col min="14073" max="14073" width="29" style="7" bestFit="1" customWidth="1"/>
    <col min="14074" max="14074" width="12.23046875" style="7" bestFit="1" customWidth="1"/>
    <col min="14075" max="14075" width="17" style="7" customWidth="1"/>
    <col min="14076" max="14076" width="17.23046875" style="7" bestFit="1" customWidth="1"/>
    <col min="14077" max="14327" width="10.23046875" style="7"/>
    <col min="14328" max="14328" width="3.53515625" style="7" customWidth="1"/>
    <col min="14329" max="14329" width="29" style="7" bestFit="1" customWidth="1"/>
    <col min="14330" max="14330" width="12.23046875" style="7" bestFit="1" customWidth="1"/>
    <col min="14331" max="14331" width="17" style="7" customWidth="1"/>
    <col min="14332" max="14332" width="17.23046875" style="7" bestFit="1" customWidth="1"/>
    <col min="14333" max="14583" width="10.23046875" style="7"/>
    <col min="14584" max="14584" width="3.53515625" style="7" customWidth="1"/>
    <col min="14585" max="14585" width="29" style="7" bestFit="1" customWidth="1"/>
    <col min="14586" max="14586" width="12.23046875" style="7" bestFit="1" customWidth="1"/>
    <col min="14587" max="14587" width="17" style="7" customWidth="1"/>
    <col min="14588" max="14588" width="17.23046875" style="7" bestFit="1" customWidth="1"/>
    <col min="14589" max="14839" width="10.23046875" style="7"/>
    <col min="14840" max="14840" width="3.53515625" style="7" customWidth="1"/>
    <col min="14841" max="14841" width="29" style="7" bestFit="1" customWidth="1"/>
    <col min="14842" max="14842" width="12.23046875" style="7" bestFit="1" customWidth="1"/>
    <col min="14843" max="14843" width="17" style="7" customWidth="1"/>
    <col min="14844" max="14844" width="17.23046875" style="7" bestFit="1" customWidth="1"/>
    <col min="14845" max="15095" width="10.23046875" style="7"/>
    <col min="15096" max="15096" width="3.53515625" style="7" customWidth="1"/>
    <col min="15097" max="15097" width="29" style="7" bestFit="1" customWidth="1"/>
    <col min="15098" max="15098" width="12.23046875" style="7" bestFit="1" customWidth="1"/>
    <col min="15099" max="15099" width="17" style="7" customWidth="1"/>
    <col min="15100" max="15100" width="17.23046875" style="7" bestFit="1" customWidth="1"/>
    <col min="15101" max="15351" width="10.23046875" style="7"/>
    <col min="15352" max="15352" width="3.53515625" style="7" customWidth="1"/>
    <col min="15353" max="15353" width="29" style="7" bestFit="1" customWidth="1"/>
    <col min="15354" max="15354" width="12.23046875" style="7" bestFit="1" customWidth="1"/>
    <col min="15355" max="15355" width="17" style="7" customWidth="1"/>
    <col min="15356" max="15356" width="17.23046875" style="7" bestFit="1" customWidth="1"/>
    <col min="15357" max="15607" width="10.23046875" style="7"/>
    <col min="15608" max="15608" width="3.53515625" style="7" customWidth="1"/>
    <col min="15609" max="15609" width="29" style="7" bestFit="1" customWidth="1"/>
    <col min="15610" max="15610" width="12.23046875" style="7" bestFit="1" customWidth="1"/>
    <col min="15611" max="15611" width="17" style="7" customWidth="1"/>
    <col min="15612" max="15612" width="17.23046875" style="7" bestFit="1" customWidth="1"/>
    <col min="15613" max="15863" width="10.23046875" style="7"/>
    <col min="15864" max="15864" width="3.53515625" style="7" customWidth="1"/>
    <col min="15865" max="15865" width="29" style="7" bestFit="1" customWidth="1"/>
    <col min="15866" max="15866" width="12.23046875" style="7" bestFit="1" customWidth="1"/>
    <col min="15867" max="15867" width="17" style="7" customWidth="1"/>
    <col min="15868" max="15868" width="17.23046875" style="7" bestFit="1" customWidth="1"/>
    <col min="15869" max="16119" width="10.23046875" style="7"/>
    <col min="16120" max="16120" width="3.53515625" style="7" customWidth="1"/>
    <col min="16121" max="16121" width="29" style="7" bestFit="1" customWidth="1"/>
    <col min="16122" max="16122" width="12.23046875" style="7" bestFit="1" customWidth="1"/>
    <col min="16123" max="16123" width="17" style="7" customWidth="1"/>
    <col min="16124" max="16124" width="17.23046875" style="7" bestFit="1" customWidth="1"/>
    <col min="16125" max="16384" width="10.23046875" style="7"/>
  </cols>
  <sheetData>
    <row r="1" spans="2:15" ht="15.45" thickBot="1" x14ac:dyDescent="0.4"/>
    <row r="2" spans="2:15" ht="18.75" customHeight="1" x14ac:dyDescent="0.35">
      <c r="B2" s="678" t="s">
        <v>65</v>
      </c>
      <c r="C2" s="641" t="s">
        <v>3</v>
      </c>
      <c r="D2" s="660" t="s">
        <v>25</v>
      </c>
    </row>
    <row r="3" spans="2:15" ht="19.5" customHeight="1" x14ac:dyDescent="0.35">
      <c r="B3" s="679"/>
      <c r="C3" s="642"/>
      <c r="D3" s="661"/>
    </row>
    <row r="4" spans="2:15" ht="19.5" customHeight="1" thickBot="1" x14ac:dyDescent="0.4">
      <c r="B4" s="172">
        <v>1</v>
      </c>
      <c r="C4" s="173" t="s">
        <v>5809</v>
      </c>
      <c r="D4" s="425">
        <v>5.0000000000000001E-3</v>
      </c>
    </row>
    <row r="7" spans="2:15" x14ac:dyDescent="0.35"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10" spans="2:15" x14ac:dyDescent="0.35">
      <c r="E10" s="10"/>
    </row>
    <row r="11" spans="2:15" x14ac:dyDescent="0.35">
      <c r="E11" s="10"/>
    </row>
    <row r="12" spans="2:15" x14ac:dyDescent="0.35">
      <c r="E12" s="10"/>
    </row>
  </sheetData>
  <mergeCells count="3">
    <mergeCell ref="C2:C3"/>
    <mergeCell ref="D2:D3"/>
    <mergeCell ref="B2:B3"/>
  </mergeCells>
  <pageMargins left="0.75" right="0.75" top="1" bottom="1" header="0.5" footer="0.5"/>
  <pageSetup paperSize="9" scale="79" orientation="landscape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1328-91FC-4344-946B-C185F95752FF}">
  <sheetPr>
    <tabColor theme="9"/>
  </sheetPr>
  <dimension ref="B1:E131"/>
  <sheetViews>
    <sheetView showGridLines="0" rightToLeft="1" zoomScaleNormal="100" zoomScaleSheetLayoutView="100" workbookViewId="0">
      <selection activeCell="D20" sqref="D20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3" style="23" bestFit="1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1" spans="2:5" ht="18.899999999999999" thickBot="1" x14ac:dyDescent="0.8"/>
    <row r="2" spans="2:5" ht="19.75" x14ac:dyDescent="0.75">
      <c r="B2" s="597" t="s">
        <v>444</v>
      </c>
      <c r="C2" s="598"/>
      <c r="D2" s="598"/>
      <c r="E2" s="599"/>
    </row>
    <row r="3" spans="2:5" ht="19.75" x14ac:dyDescent="0.75">
      <c r="B3" s="271" t="s">
        <v>125</v>
      </c>
      <c r="C3" s="270" t="s">
        <v>38</v>
      </c>
      <c r="D3" s="270" t="s">
        <v>126</v>
      </c>
      <c r="E3" s="272" t="s">
        <v>128</v>
      </c>
    </row>
    <row r="4" spans="2:5" x14ac:dyDescent="0.75">
      <c r="B4" s="223" t="s">
        <v>409</v>
      </c>
      <c r="C4" s="149" t="s">
        <v>163</v>
      </c>
      <c r="D4" s="231">
        <v>0</v>
      </c>
      <c r="E4" s="253"/>
    </row>
    <row r="5" spans="2:5" x14ac:dyDescent="0.75">
      <c r="B5" s="223" t="s">
        <v>410</v>
      </c>
      <c r="C5" s="149" t="s">
        <v>163</v>
      </c>
      <c r="D5" s="347">
        <v>0.05</v>
      </c>
      <c r="E5" s="253"/>
    </row>
    <row r="6" spans="2:5" x14ac:dyDescent="0.75">
      <c r="B6" s="223" t="s">
        <v>411</v>
      </c>
      <c r="C6" s="149" t="s">
        <v>163</v>
      </c>
      <c r="D6" s="347">
        <f>D5+17.5%</f>
        <v>0.22499999999999998</v>
      </c>
      <c r="E6" s="253"/>
    </row>
    <row r="7" spans="2:5" x14ac:dyDescent="0.75">
      <c r="B7" s="223" t="s">
        <v>412</v>
      </c>
      <c r="C7" s="149" t="s">
        <v>163</v>
      </c>
      <c r="D7" s="347">
        <f>17.5%+D6</f>
        <v>0.39999999999999997</v>
      </c>
      <c r="E7" s="152"/>
    </row>
    <row r="8" spans="2:5" x14ac:dyDescent="0.75">
      <c r="B8" s="223" t="s">
        <v>413</v>
      </c>
      <c r="C8" s="149" t="s">
        <v>163</v>
      </c>
      <c r="D8" s="347">
        <f>D7+17.5%</f>
        <v>0.57499999999999996</v>
      </c>
      <c r="E8" s="152"/>
    </row>
    <row r="9" spans="2:5" ht="18.899999999999999" thickBot="1" x14ac:dyDescent="0.8">
      <c r="B9" s="227" t="s">
        <v>188</v>
      </c>
      <c r="C9" s="153" t="s">
        <v>189</v>
      </c>
      <c r="D9" s="303">
        <v>30</v>
      </c>
      <c r="E9" s="346"/>
    </row>
    <row r="12" spans="2:5" x14ac:dyDescent="0.75">
      <c r="B12" s="23" t="s">
        <v>5810</v>
      </c>
    </row>
    <row r="39" ht="11.7" customHeight="1" x14ac:dyDescent="0.75"/>
    <row r="67" ht="10.5" customHeight="1" x14ac:dyDescent="0.75"/>
    <row r="130" spans="2:5" ht="19.75" x14ac:dyDescent="0.75">
      <c r="B130" s="76"/>
      <c r="C130" s="93"/>
      <c r="D130" s="94"/>
      <c r="E130" s="93"/>
    </row>
    <row r="131" spans="2:5" ht="19.75" x14ac:dyDescent="0.75">
      <c r="B131" s="76"/>
      <c r="C131" s="93"/>
      <c r="D131" s="94"/>
      <c r="E131" s="93"/>
    </row>
  </sheetData>
  <mergeCells count="1">
    <mergeCell ref="B2:E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34A4-E94C-476D-8F49-690E158D059D}">
  <sheetPr>
    <tabColor theme="9"/>
  </sheetPr>
  <dimension ref="B1:E67"/>
  <sheetViews>
    <sheetView rightToLeft="1" zoomScale="115" zoomScaleNormal="115" zoomScaleSheetLayoutView="130" workbookViewId="0">
      <selection activeCell="D20" sqref="D20"/>
    </sheetView>
  </sheetViews>
  <sheetFormatPr defaultRowHeight="12.45" x14ac:dyDescent="0.3"/>
  <cols>
    <col min="2" max="2" width="18.765625" bestFit="1" customWidth="1"/>
    <col min="3" max="3" width="19.765625" bestFit="1" customWidth="1"/>
    <col min="4" max="4" width="24.84375" bestFit="1" customWidth="1"/>
    <col min="5" max="5" width="29.765625" customWidth="1"/>
  </cols>
  <sheetData>
    <row r="1" spans="2:5" ht="12.9" thickBot="1" x14ac:dyDescent="0.35"/>
    <row r="2" spans="2:5" ht="19.75" x14ac:dyDescent="0.85">
      <c r="B2" s="594" t="s">
        <v>148</v>
      </c>
      <c r="C2" s="595"/>
      <c r="D2" s="595"/>
      <c r="E2" s="596"/>
    </row>
    <row r="3" spans="2:5" ht="19.75" x14ac:dyDescent="0.85">
      <c r="B3" s="101" t="s">
        <v>125</v>
      </c>
      <c r="C3" s="77" t="s">
        <v>38</v>
      </c>
      <c r="D3" s="77" t="s">
        <v>126</v>
      </c>
      <c r="E3" s="102" t="s">
        <v>128</v>
      </c>
    </row>
    <row r="4" spans="2:5" ht="18.45" x14ac:dyDescent="0.75">
      <c r="B4" s="219" t="s">
        <v>135</v>
      </c>
      <c r="C4" s="220" t="s">
        <v>41</v>
      </c>
      <c r="D4" s="220">
        <v>365</v>
      </c>
      <c r="E4" s="221" t="s">
        <v>0</v>
      </c>
    </row>
    <row r="5" spans="2:5" ht="18.45" x14ac:dyDescent="0.75">
      <c r="B5" s="219" t="s">
        <v>139</v>
      </c>
      <c r="C5" s="220" t="s">
        <v>140</v>
      </c>
      <c r="D5" s="220">
        <v>12</v>
      </c>
      <c r="E5" s="221" t="s">
        <v>0</v>
      </c>
    </row>
    <row r="6" spans="2:5" ht="18.45" x14ac:dyDescent="0.75">
      <c r="B6" s="219" t="s">
        <v>141</v>
      </c>
      <c r="C6" s="220" t="s">
        <v>142</v>
      </c>
      <c r="D6" s="220">
        <v>52</v>
      </c>
      <c r="E6" s="221" t="s">
        <v>0</v>
      </c>
    </row>
    <row r="7" spans="2:5" ht="18.45" x14ac:dyDescent="0.75">
      <c r="B7" s="219" t="s">
        <v>136</v>
      </c>
      <c r="C7" s="220" t="s">
        <v>137</v>
      </c>
      <c r="D7" s="220">
        <v>8760</v>
      </c>
      <c r="E7" s="221" t="s">
        <v>0</v>
      </c>
    </row>
    <row r="8" spans="2:5" ht="18.45" x14ac:dyDescent="0.75">
      <c r="B8" s="219" t="s">
        <v>143</v>
      </c>
      <c r="C8" s="220" t="s">
        <v>41</v>
      </c>
      <c r="D8" s="220">
        <v>30</v>
      </c>
      <c r="E8" s="221" t="s">
        <v>0</v>
      </c>
    </row>
    <row r="9" spans="2:5" ht="18.45" x14ac:dyDescent="0.75">
      <c r="B9" s="219" t="s">
        <v>144</v>
      </c>
      <c r="C9" s="220" t="s">
        <v>41</v>
      </c>
      <c r="D9" s="220">
        <v>7</v>
      </c>
      <c r="E9" s="221" t="s">
        <v>0</v>
      </c>
    </row>
    <row r="10" spans="2:5" ht="18.45" x14ac:dyDescent="0.75">
      <c r="B10" s="219" t="s">
        <v>145</v>
      </c>
      <c r="C10" s="220" t="s">
        <v>137</v>
      </c>
      <c r="D10" s="220">
        <v>24</v>
      </c>
      <c r="E10" s="221" t="s">
        <v>0</v>
      </c>
    </row>
    <row r="11" spans="2:5" ht="18.899999999999999" thickBot="1" x14ac:dyDescent="0.8">
      <c r="B11" s="353" t="s">
        <v>146</v>
      </c>
      <c r="C11" s="228" t="s">
        <v>147</v>
      </c>
      <c r="D11" s="228">
        <v>86400</v>
      </c>
      <c r="E11" s="354" t="s">
        <v>0</v>
      </c>
    </row>
    <row r="13" spans="2:5" ht="12.9" thickBot="1" x14ac:dyDescent="0.35"/>
    <row r="14" spans="2:5" ht="19.75" x14ac:dyDescent="0.85">
      <c r="B14" s="594" t="s">
        <v>149</v>
      </c>
      <c r="C14" s="595"/>
      <c r="D14" s="595"/>
      <c r="E14" s="596"/>
    </row>
    <row r="15" spans="2:5" ht="19.75" x14ac:dyDescent="0.85">
      <c r="B15" s="101" t="s">
        <v>125</v>
      </c>
      <c r="C15" s="77" t="s">
        <v>38</v>
      </c>
      <c r="D15" s="77" t="s">
        <v>126</v>
      </c>
      <c r="E15" s="102" t="s">
        <v>128</v>
      </c>
    </row>
    <row r="16" spans="2:5" ht="18.45" x14ac:dyDescent="0.75">
      <c r="B16" s="219" t="s">
        <v>150</v>
      </c>
      <c r="C16" s="220" t="s">
        <v>0</v>
      </c>
      <c r="D16" s="357">
        <v>1000</v>
      </c>
      <c r="E16" s="221" t="s">
        <v>0</v>
      </c>
    </row>
    <row r="17" spans="2:5" ht="18.45" x14ac:dyDescent="0.75">
      <c r="B17" s="219" t="s">
        <v>151</v>
      </c>
      <c r="C17" s="220" t="s">
        <v>0</v>
      </c>
      <c r="D17" s="357">
        <v>1000000</v>
      </c>
      <c r="E17" s="221" t="s">
        <v>0</v>
      </c>
    </row>
    <row r="18" spans="2:5" ht="18.45" x14ac:dyDescent="0.75">
      <c r="B18" s="219" t="s">
        <v>152</v>
      </c>
      <c r="C18" s="220" t="s">
        <v>0</v>
      </c>
      <c r="D18" s="357">
        <v>1000000000</v>
      </c>
      <c r="E18" s="221" t="s">
        <v>0</v>
      </c>
    </row>
    <row r="19" spans="2:5" ht="18.899999999999999" thickBot="1" x14ac:dyDescent="0.8">
      <c r="B19" s="353" t="s">
        <v>600</v>
      </c>
      <c r="C19" s="228" t="s">
        <v>0</v>
      </c>
      <c r="D19" s="358">
        <v>1E+18</v>
      </c>
      <c r="E19" s="354"/>
    </row>
    <row r="21" spans="2:5" ht="12.9" thickBot="1" x14ac:dyDescent="0.35"/>
    <row r="22" spans="2:5" ht="19.75" x14ac:dyDescent="0.85">
      <c r="B22" s="594" t="s">
        <v>196</v>
      </c>
      <c r="C22" s="595"/>
      <c r="D22" s="595"/>
      <c r="E22" s="596"/>
    </row>
    <row r="23" spans="2:5" ht="19.75" x14ac:dyDescent="0.85">
      <c r="B23" s="101" t="s">
        <v>125</v>
      </c>
      <c r="C23" s="77" t="s">
        <v>38</v>
      </c>
      <c r="D23" s="77" t="s">
        <v>126</v>
      </c>
      <c r="E23" s="102" t="s">
        <v>128</v>
      </c>
    </row>
    <row r="24" spans="2:5" ht="18.45" x14ac:dyDescent="0.75">
      <c r="B24" s="219" t="s">
        <v>197</v>
      </c>
      <c r="C24" s="220" t="s">
        <v>199</v>
      </c>
      <c r="D24" s="357">
        <v>100</v>
      </c>
      <c r="E24" s="221" t="s">
        <v>0</v>
      </c>
    </row>
    <row r="25" spans="2:5" ht="18.899999999999999" thickBot="1" x14ac:dyDescent="0.8">
      <c r="B25" s="353" t="s">
        <v>198</v>
      </c>
      <c r="C25" s="228" t="s">
        <v>11</v>
      </c>
      <c r="D25" s="377">
        <v>0.01</v>
      </c>
      <c r="E25" s="354" t="s">
        <v>0</v>
      </c>
    </row>
    <row r="27" spans="2:5" ht="12.9" thickBot="1" x14ac:dyDescent="0.35"/>
    <row r="28" spans="2:5" ht="19.75" x14ac:dyDescent="0.85">
      <c r="B28" s="594" t="s">
        <v>236</v>
      </c>
      <c r="C28" s="595"/>
      <c r="D28" s="595"/>
      <c r="E28" s="596"/>
    </row>
    <row r="29" spans="2:5" ht="19.75" x14ac:dyDescent="0.85">
      <c r="B29" s="101" t="s">
        <v>125</v>
      </c>
      <c r="C29" s="77" t="s">
        <v>38</v>
      </c>
      <c r="D29" s="77" t="s">
        <v>126</v>
      </c>
      <c r="E29" s="102" t="s">
        <v>128</v>
      </c>
    </row>
    <row r="30" spans="2:5" ht="18.45" x14ac:dyDescent="0.75">
      <c r="B30" s="219" t="s">
        <v>237</v>
      </c>
      <c r="C30" s="220" t="s">
        <v>238</v>
      </c>
      <c r="D30" s="378">
        <f>1/D31</f>
        <v>2.8316819907857067E-2</v>
      </c>
      <c r="E30" s="221" t="s">
        <v>0</v>
      </c>
    </row>
    <row r="31" spans="2:5" ht="18.45" x14ac:dyDescent="0.75">
      <c r="B31" s="219" t="s">
        <v>239</v>
      </c>
      <c r="C31" s="220" t="s">
        <v>240</v>
      </c>
      <c r="D31" s="378">
        <v>35.314700000000002</v>
      </c>
      <c r="E31" s="221" t="s">
        <v>526</v>
      </c>
    </row>
    <row r="32" spans="2:5" ht="18.899999999999999" thickBot="1" x14ac:dyDescent="0.8">
      <c r="B32" s="353" t="s">
        <v>241</v>
      </c>
      <c r="C32" s="228" t="s">
        <v>242</v>
      </c>
      <c r="D32" s="360">
        <v>7.4805000000000001</v>
      </c>
      <c r="E32" s="354"/>
    </row>
    <row r="34" spans="2:5" ht="12.9" thickBot="1" x14ac:dyDescent="0.35"/>
    <row r="35" spans="2:5" ht="19.75" x14ac:dyDescent="0.85">
      <c r="B35" s="594" t="s">
        <v>300</v>
      </c>
      <c r="C35" s="595"/>
      <c r="D35" s="595"/>
      <c r="E35" s="596"/>
    </row>
    <row r="36" spans="2:5" ht="19.75" x14ac:dyDescent="0.85">
      <c r="B36" s="101" t="s">
        <v>125</v>
      </c>
      <c r="C36" s="77" t="s">
        <v>38</v>
      </c>
      <c r="D36" s="77" t="s">
        <v>126</v>
      </c>
      <c r="E36" s="102" t="s">
        <v>128</v>
      </c>
    </row>
    <row r="37" spans="2:5" ht="18.45" x14ac:dyDescent="0.75">
      <c r="B37" s="219" t="s">
        <v>301</v>
      </c>
      <c r="C37" s="220" t="s">
        <v>298</v>
      </c>
      <c r="D37" s="359">
        <v>16.018000000000001</v>
      </c>
      <c r="E37" s="221" t="s">
        <v>0</v>
      </c>
    </row>
    <row r="38" spans="2:5" ht="18.899999999999999" thickBot="1" x14ac:dyDescent="0.8">
      <c r="B38" s="353" t="s">
        <v>454</v>
      </c>
      <c r="C38" s="228" t="s">
        <v>455</v>
      </c>
      <c r="D38" s="379">
        <v>1055.056</v>
      </c>
      <c r="E38" s="354"/>
    </row>
    <row r="39" spans="2:5" ht="19.75" x14ac:dyDescent="0.85">
      <c r="B39" s="33"/>
      <c r="C39" s="33"/>
      <c r="D39" s="107"/>
      <c r="E39" s="33"/>
    </row>
    <row r="40" spans="2:5" ht="12.9" thickBot="1" x14ac:dyDescent="0.35"/>
    <row r="41" spans="2:5" ht="19.75" x14ac:dyDescent="0.85">
      <c r="B41" s="594" t="s">
        <v>348</v>
      </c>
      <c r="C41" s="595"/>
      <c r="D41" s="595"/>
      <c r="E41" s="596"/>
    </row>
    <row r="42" spans="2:5" ht="19.75" x14ac:dyDescent="0.85">
      <c r="B42" s="101" t="s">
        <v>125</v>
      </c>
      <c r="C42" s="77" t="s">
        <v>38</v>
      </c>
      <c r="D42" s="77" t="s">
        <v>126</v>
      </c>
      <c r="E42" s="102" t="s">
        <v>128</v>
      </c>
    </row>
    <row r="43" spans="2:5" ht="18.899999999999999" thickBot="1" x14ac:dyDescent="0.8">
      <c r="B43" s="353" t="s">
        <v>235</v>
      </c>
      <c r="C43" s="228" t="s">
        <v>349</v>
      </c>
      <c r="D43" s="358">
        <v>3600</v>
      </c>
      <c r="E43" s="354" t="s">
        <v>0</v>
      </c>
    </row>
    <row r="45" spans="2:5" ht="12.9" thickBot="1" x14ac:dyDescent="0.35"/>
    <row r="46" spans="2:5" ht="19.75" x14ac:dyDescent="0.85">
      <c r="B46" s="594" t="s">
        <v>274</v>
      </c>
      <c r="C46" s="595"/>
      <c r="D46" s="595"/>
      <c r="E46" s="596"/>
    </row>
    <row r="47" spans="2:5" ht="19.75" x14ac:dyDescent="0.85">
      <c r="B47" s="101" t="s">
        <v>125</v>
      </c>
      <c r="C47" s="77" t="s">
        <v>38</v>
      </c>
      <c r="D47" s="77" t="s">
        <v>126</v>
      </c>
      <c r="E47" s="102" t="s">
        <v>128</v>
      </c>
    </row>
    <row r="48" spans="2:5" ht="18.899999999999999" thickBot="1" x14ac:dyDescent="0.8">
      <c r="B48" s="353" t="s">
        <v>247</v>
      </c>
      <c r="C48" s="153" t="s">
        <v>275</v>
      </c>
      <c r="D48" s="228">
        <v>1.2250000000000001</v>
      </c>
      <c r="E48" s="354"/>
    </row>
    <row r="50" spans="2:5" ht="12.9" thickBot="1" x14ac:dyDescent="0.35"/>
    <row r="51" spans="2:5" ht="19.75" x14ac:dyDescent="0.85">
      <c r="B51" s="594" t="s">
        <v>272</v>
      </c>
      <c r="C51" s="595"/>
      <c r="D51" s="595"/>
      <c r="E51" s="596"/>
    </row>
    <row r="52" spans="2:5" ht="19.75" x14ac:dyDescent="0.85">
      <c r="B52" s="101" t="s">
        <v>125</v>
      </c>
      <c r="C52" s="77" t="s">
        <v>38</v>
      </c>
      <c r="D52" s="77" t="s">
        <v>126</v>
      </c>
      <c r="E52" s="102" t="s">
        <v>128</v>
      </c>
    </row>
    <row r="53" spans="2:5" ht="18.45" x14ac:dyDescent="0.75">
      <c r="B53" s="219" t="s">
        <v>287</v>
      </c>
      <c r="C53" s="220" t="s">
        <v>251</v>
      </c>
      <c r="D53" s="220">
        <v>16.042999999999999</v>
      </c>
      <c r="E53" s="221" t="s">
        <v>285</v>
      </c>
    </row>
    <row r="54" spans="2:5" ht="18.45" x14ac:dyDescent="0.75">
      <c r="B54" s="219" t="s">
        <v>296</v>
      </c>
      <c r="C54" s="220" t="s">
        <v>299</v>
      </c>
      <c r="D54" s="220">
        <v>42.27</v>
      </c>
      <c r="E54" s="221" t="s">
        <v>286</v>
      </c>
    </row>
    <row r="55" spans="2:5" ht="18.45" x14ac:dyDescent="0.75">
      <c r="B55" s="219" t="s">
        <v>288</v>
      </c>
      <c r="C55" s="220" t="s">
        <v>251</v>
      </c>
      <c r="D55" s="220">
        <v>30.068999999999999</v>
      </c>
      <c r="E55" s="221" t="s">
        <v>282</v>
      </c>
    </row>
    <row r="56" spans="2:5" ht="18.45" x14ac:dyDescent="0.75">
      <c r="B56" s="219" t="s">
        <v>297</v>
      </c>
      <c r="C56" s="220" t="s">
        <v>299</v>
      </c>
      <c r="D56" s="220">
        <v>79.239999999999995</v>
      </c>
      <c r="E56" s="221" t="s">
        <v>283</v>
      </c>
    </row>
    <row r="57" spans="2:5" ht="18.45" x14ac:dyDescent="0.75">
      <c r="B57" s="219" t="s">
        <v>273</v>
      </c>
      <c r="C57" s="220" t="s">
        <v>251</v>
      </c>
      <c r="D57" s="220">
        <v>44.095999999999997</v>
      </c>
      <c r="E57" s="221" t="s">
        <v>282</v>
      </c>
    </row>
    <row r="58" spans="2:5" ht="18.45" x14ac:dyDescent="0.75">
      <c r="B58" s="219" t="s">
        <v>277</v>
      </c>
      <c r="C58" s="220" t="s">
        <v>251</v>
      </c>
      <c r="D58" s="220">
        <v>58.122</v>
      </c>
      <c r="E58" s="221" t="s">
        <v>282</v>
      </c>
    </row>
    <row r="59" spans="2:5" ht="18.45" x14ac:dyDescent="0.75">
      <c r="B59" s="219" t="s">
        <v>278</v>
      </c>
      <c r="C59" s="220" t="s">
        <v>251</v>
      </c>
      <c r="D59" s="220">
        <v>58.122</v>
      </c>
      <c r="E59" s="221" t="s">
        <v>282</v>
      </c>
    </row>
    <row r="60" spans="2:5" ht="18.45" x14ac:dyDescent="0.75">
      <c r="B60" s="219" t="s">
        <v>279</v>
      </c>
      <c r="C60" s="220" t="s">
        <v>251</v>
      </c>
      <c r="D60" s="220">
        <v>72.150000000000006</v>
      </c>
      <c r="E60" s="221" t="s">
        <v>282</v>
      </c>
    </row>
    <row r="61" spans="2:5" ht="18.45" x14ac:dyDescent="0.75">
      <c r="B61" s="223" t="s">
        <v>280</v>
      </c>
      <c r="C61" s="220" t="s">
        <v>251</v>
      </c>
      <c r="D61" s="361">
        <v>72.150000000000006</v>
      </c>
      <c r="E61" s="221" t="s">
        <v>282</v>
      </c>
    </row>
    <row r="62" spans="2:5" ht="18.899999999999999" thickBot="1" x14ac:dyDescent="0.8">
      <c r="B62" s="227" t="s">
        <v>293</v>
      </c>
      <c r="C62" s="228" t="s">
        <v>251</v>
      </c>
      <c r="D62" s="362">
        <v>86.177000000000007</v>
      </c>
      <c r="E62" s="354" t="s">
        <v>283</v>
      </c>
    </row>
    <row r="64" spans="2:5" ht="12.9" thickBot="1" x14ac:dyDescent="0.35"/>
    <row r="65" spans="2:5" ht="19.75" x14ac:dyDescent="0.85">
      <c r="B65" s="594" t="s">
        <v>459</v>
      </c>
      <c r="C65" s="595"/>
      <c r="D65" s="595"/>
      <c r="E65" s="596"/>
    </row>
    <row r="66" spans="2:5" ht="19.75" x14ac:dyDescent="0.85">
      <c r="B66" s="101" t="s">
        <v>125</v>
      </c>
      <c r="C66" s="77" t="s">
        <v>38</v>
      </c>
      <c r="D66" s="77" t="s">
        <v>126</v>
      </c>
      <c r="E66" s="102" t="s">
        <v>128</v>
      </c>
    </row>
    <row r="67" spans="2:5" ht="18.899999999999999" thickBot="1" x14ac:dyDescent="0.8">
      <c r="B67" s="353" t="s">
        <v>460</v>
      </c>
      <c r="C67" s="153"/>
      <c r="D67" s="228" t="s">
        <v>0</v>
      </c>
      <c r="E67" s="354"/>
    </row>
  </sheetData>
  <mergeCells count="9">
    <mergeCell ref="B65:E65"/>
    <mergeCell ref="B46:E46"/>
    <mergeCell ref="B51:E51"/>
    <mergeCell ref="B41:E41"/>
    <mergeCell ref="B2:E2"/>
    <mergeCell ref="B14:E14"/>
    <mergeCell ref="B22:E22"/>
    <mergeCell ref="B28:E28"/>
    <mergeCell ref="B35:E35"/>
  </mergeCells>
  <pageMargins left="0.7" right="0.7" top="0.75" bottom="0.75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D3ED-DDA9-414A-BD01-CD5D17070646}">
  <sheetPr>
    <tabColor theme="9"/>
  </sheetPr>
  <dimension ref="A1:I6335"/>
  <sheetViews>
    <sheetView topLeftCell="D1" zoomScaleNormal="100" workbookViewId="0">
      <selection activeCell="D20" sqref="D20"/>
    </sheetView>
  </sheetViews>
  <sheetFormatPr defaultRowHeight="12.45" x14ac:dyDescent="0.3"/>
  <cols>
    <col min="1" max="1" width="13.765625" bestFit="1" customWidth="1"/>
    <col min="2" max="2" width="23.3046875" bestFit="1" customWidth="1"/>
    <col min="4" max="4" width="13.07421875" bestFit="1" customWidth="1"/>
    <col min="5" max="5" width="19.765625" bestFit="1" customWidth="1"/>
    <col min="6" max="6" width="19.765625" customWidth="1"/>
    <col min="9" max="9" width="14.4609375" customWidth="1"/>
  </cols>
  <sheetData>
    <row r="1" spans="1:9" ht="13.3" thickBot="1" x14ac:dyDescent="0.35">
      <c r="A1" s="400" t="s">
        <v>577</v>
      </c>
      <c r="B1" s="400" t="s">
        <v>578</v>
      </c>
    </row>
    <row r="2" spans="1:9" ht="12.9" x14ac:dyDescent="0.35">
      <c r="A2" s="401">
        <v>39816</v>
      </c>
      <c r="B2" s="402">
        <v>49710.269629629598</v>
      </c>
      <c r="D2" s="399" t="s">
        <v>552</v>
      </c>
      <c r="E2" t="s">
        <v>576</v>
      </c>
      <c r="F2" s="430" t="s">
        <v>5783</v>
      </c>
      <c r="H2" s="839" t="s">
        <v>586</v>
      </c>
      <c r="I2" s="840"/>
    </row>
    <row r="3" spans="1:9" ht="12.9" x14ac:dyDescent="0.35">
      <c r="A3" s="401">
        <v>39822</v>
      </c>
      <c r="B3" s="402">
        <v>944495.12296296295</v>
      </c>
      <c r="D3" s="406" t="s">
        <v>553</v>
      </c>
      <c r="E3">
        <v>6.3100356945937807E+18</v>
      </c>
      <c r="H3" s="411" t="s">
        <v>580</v>
      </c>
      <c r="I3" s="409">
        <v>-1093430000000</v>
      </c>
    </row>
    <row r="4" spans="1:9" ht="12.9" x14ac:dyDescent="0.35">
      <c r="A4" s="401">
        <v>39823</v>
      </c>
      <c r="B4" s="402">
        <v>3032326.4474073998</v>
      </c>
      <c r="D4" s="407" t="s">
        <v>554</v>
      </c>
      <c r="E4">
        <v>2.7294669139663754E+18</v>
      </c>
      <c r="H4" s="411" t="s">
        <v>581</v>
      </c>
      <c r="I4" s="409">
        <v>279966000000000</v>
      </c>
    </row>
    <row r="5" spans="1:9" ht="12.9" x14ac:dyDescent="0.35">
      <c r="A5" s="401">
        <v>39824</v>
      </c>
      <c r="B5" s="402">
        <v>4623055.0755555499</v>
      </c>
      <c r="D5" s="407" t="s">
        <v>555</v>
      </c>
      <c r="E5">
        <v>3.2108406534721219E+18</v>
      </c>
      <c r="F5" s="431"/>
      <c r="H5" s="411" t="s">
        <v>582</v>
      </c>
      <c r="I5" s="409">
        <v>-2.33774E+16</v>
      </c>
    </row>
    <row r="6" spans="1:9" ht="12.9" x14ac:dyDescent="0.35">
      <c r="A6" s="401">
        <v>39825</v>
      </c>
      <c r="B6" s="402">
        <v>4672765.3451851802</v>
      </c>
      <c r="D6" s="407" t="s">
        <v>556</v>
      </c>
      <c r="E6">
        <v>3.4672658015282534E+18</v>
      </c>
      <c r="F6" s="431"/>
      <c r="H6" s="411" t="s">
        <v>583</v>
      </c>
      <c r="I6" s="409">
        <v>7.79626E+17</v>
      </c>
    </row>
    <row r="7" spans="1:9" ht="13.3" thickBot="1" x14ac:dyDescent="0.4">
      <c r="A7" s="401">
        <v>39826</v>
      </c>
      <c r="B7" s="402">
        <v>6114363.16444444</v>
      </c>
      <c r="D7" s="407" t="s">
        <v>557</v>
      </c>
      <c r="E7">
        <v>3.767457420385514E+18</v>
      </c>
      <c r="F7" s="431"/>
      <c r="H7" s="412" t="s">
        <v>584</v>
      </c>
      <c r="I7" s="410">
        <v>-6.19701E+18</v>
      </c>
    </row>
    <row r="8" spans="1:9" ht="13.3" thickBot="1" x14ac:dyDescent="0.4">
      <c r="A8" s="401">
        <v>39827</v>
      </c>
      <c r="B8" s="402">
        <v>6412624.7822222197</v>
      </c>
      <c r="D8" s="407" t="s">
        <v>558</v>
      </c>
      <c r="E8">
        <v>4.3555595051990707E+18</v>
      </c>
      <c r="F8" s="431"/>
      <c r="H8" s="432" t="s">
        <v>585</v>
      </c>
      <c r="I8" s="433">
        <f>COUNT(E4:E15,E17:E28,E30:E41,E43:E54,E56:E67,E69:E80,E82:E93,E95:E106,E108:E119,E121:E125)</f>
        <v>113</v>
      </c>
    </row>
    <row r="9" spans="1:9" ht="12.9" x14ac:dyDescent="0.35">
      <c r="A9" s="401">
        <v>39828</v>
      </c>
      <c r="B9" s="402">
        <v>6263493.9733333299</v>
      </c>
      <c r="D9" s="407" t="s">
        <v>559</v>
      </c>
      <c r="E9">
        <v>5.0374508668265452E+18</v>
      </c>
      <c r="F9" s="431"/>
    </row>
    <row r="10" spans="1:9" ht="13.3" thickBot="1" x14ac:dyDescent="0.4">
      <c r="A10" s="401">
        <v>39829</v>
      </c>
      <c r="B10" s="402">
        <v>5368709.1200000001</v>
      </c>
      <c r="D10" s="407" t="s">
        <v>560</v>
      </c>
      <c r="E10">
        <v>6.0454370880832543E+18</v>
      </c>
      <c r="F10" s="431"/>
    </row>
    <row r="11" spans="1:9" ht="12.9" x14ac:dyDescent="0.35">
      <c r="A11" s="401">
        <v>39830</v>
      </c>
      <c r="B11" s="402">
        <v>5418419.3896296201</v>
      </c>
      <c r="D11" s="407" t="s">
        <v>561</v>
      </c>
      <c r="E11">
        <v>6.3222305608423363E+18</v>
      </c>
      <c r="F11" s="431"/>
      <c r="H11" s="839" t="s">
        <v>587</v>
      </c>
      <c r="I11" s="840"/>
    </row>
    <row r="12" spans="1:9" ht="12.9" x14ac:dyDescent="0.35">
      <c r="A12" s="401">
        <v>39831</v>
      </c>
      <c r="B12" s="402">
        <v>5318998.8503703699</v>
      </c>
      <c r="D12" s="407" t="s">
        <v>562</v>
      </c>
      <c r="E12">
        <v>7.9391866778223923E+18</v>
      </c>
      <c r="F12" s="431"/>
      <c r="H12" s="411" t="s">
        <v>582</v>
      </c>
      <c r="I12" s="409">
        <v>989668000000000</v>
      </c>
    </row>
    <row r="13" spans="1:9" ht="12.9" x14ac:dyDescent="0.35">
      <c r="A13" s="401">
        <v>39832</v>
      </c>
      <c r="B13" s="402">
        <v>5716681.0074073998</v>
      </c>
      <c r="D13" s="407" t="s">
        <v>563</v>
      </c>
      <c r="E13">
        <v>9.2530546460625039E+18</v>
      </c>
      <c r="F13" s="431"/>
      <c r="H13" s="411" t="s">
        <v>583</v>
      </c>
      <c r="I13" s="409">
        <v>-3.95341E+16</v>
      </c>
    </row>
    <row r="14" spans="1:9" ht="13.3" thickBot="1" x14ac:dyDescent="0.4">
      <c r="A14" s="401">
        <v>39833</v>
      </c>
      <c r="B14" s="402">
        <v>5666970.7377777696</v>
      </c>
      <c r="D14" s="407" t="s">
        <v>564</v>
      </c>
      <c r="E14">
        <v>1.0066261101177342E+19</v>
      </c>
      <c r="F14" s="431"/>
      <c r="H14" s="412" t="s">
        <v>584</v>
      </c>
      <c r="I14" s="410">
        <v>2.09983E+18</v>
      </c>
    </row>
    <row r="15" spans="1:9" ht="13.3" thickBot="1" x14ac:dyDescent="0.4">
      <c r="A15" s="401">
        <v>39834</v>
      </c>
      <c r="B15" s="402">
        <v>5070447.5022222204</v>
      </c>
      <c r="D15" s="407" t="s">
        <v>565</v>
      </c>
      <c r="E15">
        <v>1.3276947040549038E+19</v>
      </c>
      <c r="F15" s="431"/>
      <c r="H15" s="432" t="s">
        <v>585</v>
      </c>
      <c r="I15" s="433">
        <f>COUNT(E4:E15,E17:E28,E30:E41,E43:E54,E56:E67,E69:E80,E82:E93,E95:E106,E108:E119,E121:E125)</f>
        <v>113</v>
      </c>
    </row>
    <row r="16" spans="1:9" ht="12.9" x14ac:dyDescent="0.35">
      <c r="A16" s="401">
        <v>39835</v>
      </c>
      <c r="B16" s="402">
        <v>4523634.5362962903</v>
      </c>
      <c r="D16" s="406" t="s">
        <v>566</v>
      </c>
      <c r="E16">
        <v>3.6357819574007206E+19</v>
      </c>
    </row>
    <row r="17" spans="1:5" ht="12.9" x14ac:dyDescent="0.35">
      <c r="A17" s="401">
        <v>39836</v>
      </c>
      <c r="B17" s="402">
        <v>4175662.6488888799</v>
      </c>
      <c r="D17" s="407" t="s">
        <v>554</v>
      </c>
      <c r="E17">
        <v>1.7748914788187396E+19</v>
      </c>
    </row>
    <row r="18" spans="1:5" ht="12.9" x14ac:dyDescent="0.35">
      <c r="A18" s="401">
        <v>39837</v>
      </c>
      <c r="B18" s="402">
        <v>9991764.1955555491</v>
      </c>
      <c r="D18" s="407" t="s">
        <v>555</v>
      </c>
      <c r="E18">
        <v>2.2131191416423191E+19</v>
      </c>
    </row>
    <row r="19" spans="1:5" ht="12.9" x14ac:dyDescent="0.35">
      <c r="A19" s="401">
        <v>39838</v>
      </c>
      <c r="B19" s="402">
        <v>9494661.4992592596</v>
      </c>
      <c r="D19" s="407" t="s">
        <v>556</v>
      </c>
      <c r="E19">
        <v>2.4828135008372249E+19</v>
      </c>
    </row>
    <row r="20" spans="1:5" ht="12.9" x14ac:dyDescent="0.35">
      <c r="A20" s="401">
        <v>39839</v>
      </c>
      <c r="B20" s="402">
        <v>4772185.8844444398</v>
      </c>
      <c r="D20" s="407" t="s">
        <v>557</v>
      </c>
      <c r="E20">
        <v>2.8387134192890585E+19</v>
      </c>
    </row>
    <row r="21" spans="1:5" ht="12.9" x14ac:dyDescent="0.35">
      <c r="A21" s="401">
        <v>39840</v>
      </c>
      <c r="B21" s="402">
        <v>4821896.15407407</v>
      </c>
      <c r="D21" s="407" t="s">
        <v>558</v>
      </c>
      <c r="E21">
        <v>3.1351901128640569E+19</v>
      </c>
    </row>
    <row r="22" spans="1:5" ht="12.9" x14ac:dyDescent="0.35">
      <c r="A22" s="401">
        <v>39841</v>
      </c>
      <c r="B22" s="402">
        <v>5567550.19851851</v>
      </c>
      <c r="D22" s="407" t="s">
        <v>559</v>
      </c>
      <c r="E22">
        <v>3.7194116916247151E+19</v>
      </c>
    </row>
    <row r="23" spans="1:5" ht="12.9" x14ac:dyDescent="0.35">
      <c r="A23" s="401">
        <v>39842</v>
      </c>
      <c r="B23" s="402">
        <v>6014942.6251851805</v>
      </c>
      <c r="D23" s="407" t="s">
        <v>560</v>
      </c>
      <c r="E23">
        <v>3.9671253844156391E+19</v>
      </c>
    </row>
    <row r="24" spans="1:5" ht="12.9" x14ac:dyDescent="0.35">
      <c r="A24" s="401">
        <v>39843</v>
      </c>
      <c r="B24" s="402">
        <v>5816101.5466666603</v>
      </c>
      <c r="D24" s="407" t="s">
        <v>561</v>
      </c>
      <c r="E24">
        <v>4.8695843431342219E+19</v>
      </c>
    </row>
    <row r="25" spans="1:5" ht="12.9" x14ac:dyDescent="0.35">
      <c r="A25" s="401">
        <v>39844</v>
      </c>
      <c r="B25" s="402">
        <v>6860017.20888888</v>
      </c>
      <c r="D25" s="407" t="s">
        <v>562</v>
      </c>
      <c r="E25">
        <v>5.1322471748378862E+19</v>
      </c>
    </row>
    <row r="26" spans="1:5" ht="12.9" x14ac:dyDescent="0.35">
      <c r="A26" s="401">
        <v>39845</v>
      </c>
      <c r="B26" s="402">
        <v>5617260.4681481402</v>
      </c>
      <c r="D26" s="407" t="s">
        <v>563</v>
      </c>
      <c r="E26">
        <v>5.132193322977094E+19</v>
      </c>
    </row>
    <row r="27" spans="1:5" ht="12.9" x14ac:dyDescent="0.35">
      <c r="A27" s="401">
        <v>39846</v>
      </c>
      <c r="B27" s="402">
        <v>6362914.5125925904</v>
      </c>
      <c r="D27" s="407" t="s">
        <v>564</v>
      </c>
      <c r="E27">
        <v>4.4562107637042987E+19</v>
      </c>
    </row>
    <row r="28" spans="1:5" ht="12.9" x14ac:dyDescent="0.35">
      <c r="A28" s="401">
        <v>39847</v>
      </c>
      <c r="B28" s="402">
        <v>6909727.4785185102</v>
      </c>
      <c r="D28" s="407" t="s">
        <v>565</v>
      </c>
      <c r="E28">
        <v>3.8219304699078181E+19</v>
      </c>
    </row>
    <row r="29" spans="1:5" ht="12.9" x14ac:dyDescent="0.35">
      <c r="A29" s="401">
        <v>39848</v>
      </c>
      <c r="B29" s="402">
        <v>5915522.0859259199</v>
      </c>
      <c r="D29" s="406" t="s">
        <v>567</v>
      </c>
      <c r="E29">
        <v>6.6341152616240382E+19</v>
      </c>
    </row>
    <row r="30" spans="1:5" ht="12.9" x14ac:dyDescent="0.35">
      <c r="A30" s="401">
        <v>39849</v>
      </c>
      <c r="B30" s="402">
        <v>6263493.9733333299</v>
      </c>
      <c r="D30" s="407" t="s">
        <v>554</v>
      </c>
      <c r="E30">
        <v>4.1795536443067261E+19</v>
      </c>
    </row>
    <row r="31" spans="1:5" ht="12.9" x14ac:dyDescent="0.35">
      <c r="A31" s="401">
        <v>39850</v>
      </c>
      <c r="B31" s="402">
        <v>6064652.8948148098</v>
      </c>
      <c r="D31" s="407" t="s">
        <v>555</v>
      </c>
      <c r="E31">
        <v>4.3733414139816075E+19</v>
      </c>
    </row>
    <row r="32" spans="1:5" ht="12.9" x14ac:dyDescent="0.35">
      <c r="A32" s="401">
        <v>39851</v>
      </c>
      <c r="B32" s="402">
        <v>6412624.7822222197</v>
      </c>
      <c r="D32" s="407" t="s">
        <v>556</v>
      </c>
      <c r="E32">
        <v>4.4859815474576908E+19</v>
      </c>
    </row>
    <row r="33" spans="1:5" ht="12.9" x14ac:dyDescent="0.35">
      <c r="A33" s="401">
        <v>39852</v>
      </c>
      <c r="B33" s="402">
        <v>6561755.5911111096</v>
      </c>
      <c r="D33" s="407" t="s">
        <v>557</v>
      </c>
      <c r="E33">
        <v>4.5836298200233386E+19</v>
      </c>
    </row>
    <row r="34" spans="1:5" ht="12.9" x14ac:dyDescent="0.35">
      <c r="A34" s="401">
        <v>39853</v>
      </c>
      <c r="B34" s="402">
        <v>6661176.1303703701</v>
      </c>
      <c r="D34" s="407" t="s">
        <v>558</v>
      </c>
      <c r="E34">
        <v>5.0604536287875252E+19</v>
      </c>
    </row>
    <row r="35" spans="1:5" ht="12.9" x14ac:dyDescent="0.35">
      <c r="A35" s="401">
        <v>39854</v>
      </c>
      <c r="B35" s="402">
        <v>5965232.3555555502</v>
      </c>
      <c r="D35" s="407" t="s">
        <v>559</v>
      </c>
      <c r="E35">
        <v>5.618789611186217E+19</v>
      </c>
    </row>
    <row r="36" spans="1:5" ht="12.9" x14ac:dyDescent="0.35">
      <c r="A36" s="401">
        <v>39855</v>
      </c>
      <c r="B36" s="402">
        <v>6611465.8607407399</v>
      </c>
      <c r="D36" s="407" t="s">
        <v>560</v>
      </c>
      <c r="E36">
        <v>6.6794596544948003E+19</v>
      </c>
    </row>
    <row r="37" spans="1:5" ht="12.9" x14ac:dyDescent="0.35">
      <c r="A37" s="401">
        <v>39856</v>
      </c>
      <c r="B37" s="402">
        <v>5915522.0859259199</v>
      </c>
      <c r="D37" s="407" t="s">
        <v>561</v>
      </c>
      <c r="E37">
        <v>7.4485753155463102E+19</v>
      </c>
    </row>
    <row r="38" spans="1:5" ht="12.9" x14ac:dyDescent="0.35">
      <c r="A38" s="401">
        <v>39857</v>
      </c>
      <c r="B38" s="402">
        <v>6164073.4340740703</v>
      </c>
      <c r="D38" s="407" t="s">
        <v>562</v>
      </c>
      <c r="E38">
        <v>8.8302863911895843E+19</v>
      </c>
    </row>
    <row r="39" spans="1:5" ht="12.9" x14ac:dyDescent="0.35">
      <c r="A39" s="401">
        <v>39858</v>
      </c>
      <c r="B39" s="402">
        <v>6760596.6696296297</v>
      </c>
      <c r="D39" s="407" t="s">
        <v>563</v>
      </c>
      <c r="E39">
        <v>9.492684656988237E+19</v>
      </c>
    </row>
    <row r="40" spans="1:5" ht="12.9" x14ac:dyDescent="0.35">
      <c r="A40" s="401">
        <v>39859</v>
      </c>
      <c r="B40" s="402">
        <v>6362914.5125925904</v>
      </c>
      <c r="D40" s="407" t="s">
        <v>564</v>
      </c>
      <c r="E40">
        <v>9.1538089027284009E+19</v>
      </c>
    </row>
    <row r="41" spans="1:5" ht="12.9" x14ac:dyDescent="0.35">
      <c r="A41" s="401">
        <v>39860</v>
      </c>
      <c r="B41" s="402">
        <v>6064652.8948148098</v>
      </c>
      <c r="D41" s="407" t="s">
        <v>565</v>
      </c>
      <c r="E41">
        <v>9.5372615249174757E+19</v>
      </c>
    </row>
    <row r="42" spans="1:5" ht="12.9" x14ac:dyDescent="0.35">
      <c r="A42" s="401">
        <v>39861</v>
      </c>
      <c r="B42" s="402">
        <v>5816101.5466666603</v>
      </c>
      <c r="D42" s="406" t="s">
        <v>568</v>
      </c>
      <c r="E42">
        <v>1.1952560838198113E+20</v>
      </c>
    </row>
    <row r="43" spans="1:5" ht="12.9" x14ac:dyDescent="0.35">
      <c r="A43" s="401">
        <v>39862</v>
      </c>
      <c r="B43" s="402">
        <v>5865811.8162962897</v>
      </c>
      <c r="D43" s="407" t="s">
        <v>554</v>
      </c>
      <c r="E43">
        <v>1.0925951018496524E+20</v>
      </c>
    </row>
    <row r="44" spans="1:5" ht="12.9" x14ac:dyDescent="0.35">
      <c r="A44" s="401">
        <v>39863</v>
      </c>
      <c r="B44" s="402">
        <v>6164073.4340740703</v>
      </c>
      <c r="D44" s="407" t="s">
        <v>555</v>
      </c>
      <c r="E44">
        <v>1.1043095971969986E+20</v>
      </c>
    </row>
    <row r="45" spans="1:5" ht="12.9" x14ac:dyDescent="0.35">
      <c r="A45" s="401">
        <v>39864</v>
      </c>
      <c r="B45" s="402">
        <v>6064652.8948148098</v>
      </c>
      <c r="D45" s="407" t="s">
        <v>556</v>
      </c>
      <c r="E45">
        <v>1.0691624063782561E+20</v>
      </c>
    </row>
    <row r="46" spans="1:5" ht="12.9" x14ac:dyDescent="0.35">
      <c r="A46" s="401">
        <v>39865</v>
      </c>
      <c r="B46" s="402">
        <v>5666970.7377777696</v>
      </c>
      <c r="D46" s="407" t="s">
        <v>557</v>
      </c>
      <c r="E46">
        <v>1.1153711128958553E+20</v>
      </c>
    </row>
    <row r="47" spans="1:5" ht="12.9" x14ac:dyDescent="0.35">
      <c r="A47" s="401">
        <v>39866</v>
      </c>
      <c r="B47" s="402">
        <v>6014942.6251851805</v>
      </c>
      <c r="D47" s="407" t="s">
        <v>558</v>
      </c>
      <c r="E47">
        <v>1.0572211825518505E+20</v>
      </c>
    </row>
    <row r="48" spans="1:5" ht="12.9" x14ac:dyDescent="0.35">
      <c r="A48" s="401">
        <v>39867</v>
      </c>
      <c r="B48" s="402">
        <v>5368709.1200000001</v>
      </c>
      <c r="D48" s="407" t="s">
        <v>559</v>
      </c>
      <c r="E48">
        <v>1.1128964604487333E+20</v>
      </c>
    </row>
    <row r="49" spans="1:5" ht="12.9" x14ac:dyDescent="0.35">
      <c r="A49" s="401">
        <v>39868</v>
      </c>
      <c r="B49" s="402">
        <v>5269288.5807407396</v>
      </c>
      <c r="D49" s="407" t="s">
        <v>560</v>
      </c>
      <c r="E49">
        <v>1.2240145741065434E+20</v>
      </c>
    </row>
    <row r="50" spans="1:5" ht="12.9" x14ac:dyDescent="0.35">
      <c r="A50" s="401">
        <v>39869</v>
      </c>
      <c r="B50" s="402">
        <v>5219578.3111111103</v>
      </c>
      <c r="D50" s="407" t="s">
        <v>561</v>
      </c>
      <c r="E50">
        <v>1.2374156107889346E+20</v>
      </c>
    </row>
    <row r="51" spans="1:5" ht="12.9" x14ac:dyDescent="0.35">
      <c r="A51" s="401">
        <v>39870</v>
      </c>
      <c r="B51" s="402">
        <v>5318998.8503703699</v>
      </c>
      <c r="D51" s="407" t="s">
        <v>562</v>
      </c>
      <c r="E51">
        <v>1.3572503033083956E+20</v>
      </c>
    </row>
    <row r="52" spans="1:5" ht="12.9" x14ac:dyDescent="0.35">
      <c r="A52" s="401">
        <v>39871</v>
      </c>
      <c r="B52" s="402">
        <v>5716681.0074073998</v>
      </c>
      <c r="D52" s="407" t="s">
        <v>563</v>
      </c>
      <c r="E52">
        <v>1.3191614162698578E+20</v>
      </c>
    </row>
    <row r="53" spans="1:5" ht="12.9" x14ac:dyDescent="0.35">
      <c r="A53" s="401">
        <v>39872</v>
      </c>
      <c r="B53" s="402">
        <v>4921316.6933333296</v>
      </c>
      <c r="D53" s="407" t="s">
        <v>564</v>
      </c>
      <c r="E53">
        <v>1.2855454992181223E+20</v>
      </c>
    </row>
    <row r="54" spans="1:5" ht="12.9" x14ac:dyDescent="0.35">
      <c r="A54" s="401">
        <v>39873</v>
      </c>
      <c r="B54" s="402">
        <v>5219578.3111111103</v>
      </c>
      <c r="D54" s="407" t="s">
        <v>565</v>
      </c>
      <c r="E54">
        <v>1.365166710738934E+20</v>
      </c>
    </row>
    <row r="55" spans="1:5" ht="12.9" x14ac:dyDescent="0.35">
      <c r="A55" s="401">
        <v>39874</v>
      </c>
      <c r="B55" s="402">
        <v>5368709.1200000001</v>
      </c>
      <c r="D55" s="406" t="s">
        <v>569</v>
      </c>
      <c r="E55">
        <v>1.452290032164315E+20</v>
      </c>
    </row>
    <row r="56" spans="1:5" ht="12.9" x14ac:dyDescent="0.35">
      <c r="A56" s="401">
        <v>39875</v>
      </c>
      <c r="B56" s="402">
        <v>5219578.3111111103</v>
      </c>
      <c r="D56" s="407" t="s">
        <v>554</v>
      </c>
      <c r="E56">
        <v>1.4904816214895359E+20</v>
      </c>
    </row>
    <row r="57" spans="1:5" ht="12.9" x14ac:dyDescent="0.35">
      <c r="A57" s="401">
        <v>39876</v>
      </c>
      <c r="B57" s="402">
        <v>5169868.04148148</v>
      </c>
      <c r="D57" s="407" t="s">
        <v>555</v>
      </c>
      <c r="E57">
        <v>1.5510855676537923E+20</v>
      </c>
    </row>
    <row r="58" spans="1:5" ht="12.9" x14ac:dyDescent="0.35">
      <c r="A58" s="401">
        <v>39877</v>
      </c>
      <c r="B58" s="402">
        <v>5567550.19851851</v>
      </c>
      <c r="D58" s="407" t="s">
        <v>556</v>
      </c>
      <c r="E58">
        <v>1.5957736532450129E+20</v>
      </c>
    </row>
    <row r="59" spans="1:5" ht="12.9" x14ac:dyDescent="0.35">
      <c r="A59" s="401">
        <v>39878</v>
      </c>
      <c r="B59" s="402">
        <v>5816101.5466666603</v>
      </c>
      <c r="D59" s="407" t="s">
        <v>557</v>
      </c>
      <c r="E59">
        <v>1.5722860464507568E+20</v>
      </c>
    </row>
    <row r="60" spans="1:5" ht="12.9" x14ac:dyDescent="0.35">
      <c r="A60" s="401">
        <v>39879</v>
      </c>
      <c r="B60" s="402">
        <v>5418419.3896296201</v>
      </c>
      <c r="D60" s="407" t="s">
        <v>558</v>
      </c>
      <c r="E60">
        <v>1.6180503099650585E+20</v>
      </c>
    </row>
    <row r="61" spans="1:5" ht="12.9" x14ac:dyDescent="0.35">
      <c r="A61" s="401">
        <v>39880</v>
      </c>
      <c r="B61" s="402">
        <v>5716681.0074073998</v>
      </c>
      <c r="D61" s="407" t="s">
        <v>559</v>
      </c>
      <c r="E61">
        <v>1.2011117657225549E+20</v>
      </c>
    </row>
    <row r="62" spans="1:5" ht="12.9" x14ac:dyDescent="0.35">
      <c r="A62" s="401">
        <v>39881</v>
      </c>
      <c r="B62" s="402">
        <v>5368709.1200000001</v>
      </c>
      <c r="D62" s="407" t="s">
        <v>560</v>
      </c>
      <c r="E62">
        <v>1.0017658074228842E+20</v>
      </c>
    </row>
    <row r="63" spans="1:5" ht="12.9" x14ac:dyDescent="0.35">
      <c r="A63" s="401">
        <v>39882</v>
      </c>
      <c r="B63" s="402">
        <v>5318998.8503703699</v>
      </c>
      <c r="D63" s="407" t="s">
        <v>561</v>
      </c>
      <c r="E63">
        <v>1.2053756931113733E+20</v>
      </c>
    </row>
    <row r="64" spans="1:5" ht="12.9" x14ac:dyDescent="0.35">
      <c r="A64" s="401">
        <v>39883</v>
      </c>
      <c r="B64" s="402">
        <v>5666970.7377777696</v>
      </c>
      <c r="D64" s="407" t="s">
        <v>562</v>
      </c>
      <c r="E64">
        <v>1.3656526763269608E+20</v>
      </c>
    </row>
    <row r="65" spans="1:5" ht="12.9" x14ac:dyDescent="0.35">
      <c r="A65" s="401">
        <v>39884</v>
      </c>
      <c r="B65" s="402">
        <v>5865811.8162962897</v>
      </c>
      <c r="D65" s="407" t="s">
        <v>563</v>
      </c>
      <c r="E65">
        <v>1.4905579808673415E+20</v>
      </c>
    </row>
    <row r="66" spans="1:5" ht="12.9" x14ac:dyDescent="0.35">
      <c r="A66" s="401">
        <v>39885</v>
      </c>
      <c r="B66" s="402">
        <v>5617260.4681481402</v>
      </c>
      <c r="D66" s="407" t="s">
        <v>564</v>
      </c>
      <c r="E66">
        <v>1.6091861497014813E+20</v>
      </c>
    </row>
    <row r="67" spans="1:5" ht="12.9" x14ac:dyDescent="0.35">
      <c r="A67" s="401">
        <v>39886</v>
      </c>
      <c r="B67" s="402">
        <v>5468129.6592592504</v>
      </c>
      <c r="D67" s="407" t="s">
        <v>565</v>
      </c>
      <c r="E67">
        <v>1.7337486984025345E+20</v>
      </c>
    </row>
    <row r="68" spans="1:5" ht="12.9" x14ac:dyDescent="0.35">
      <c r="A68" s="401">
        <v>39887</v>
      </c>
      <c r="B68" s="402">
        <v>6114363.16444444</v>
      </c>
      <c r="D68" s="406" t="s">
        <v>570</v>
      </c>
      <c r="E68">
        <v>2.1954623774775191E+20</v>
      </c>
    </row>
    <row r="69" spans="1:5" ht="12.9" x14ac:dyDescent="0.35">
      <c r="A69" s="401">
        <v>39888</v>
      </c>
      <c r="B69" s="402">
        <v>6014942.6251851805</v>
      </c>
      <c r="D69" s="407" t="s">
        <v>554</v>
      </c>
      <c r="E69">
        <v>1.8760988543868374E+20</v>
      </c>
    </row>
    <row r="70" spans="1:5" ht="12.9" x14ac:dyDescent="0.35">
      <c r="A70" s="401">
        <v>39889</v>
      </c>
      <c r="B70" s="402">
        <v>5666970.7377777696</v>
      </c>
      <c r="D70" s="407" t="s">
        <v>555</v>
      </c>
      <c r="E70">
        <v>1.979304747434949E+20</v>
      </c>
    </row>
    <row r="71" spans="1:5" ht="12.9" x14ac:dyDescent="0.35">
      <c r="A71" s="401">
        <v>39890</v>
      </c>
      <c r="B71" s="402">
        <v>5666970.7377777696</v>
      </c>
      <c r="D71" s="407" t="s">
        <v>556</v>
      </c>
      <c r="E71">
        <v>2.008835111000797E+20</v>
      </c>
    </row>
    <row r="72" spans="1:5" ht="12.9" x14ac:dyDescent="0.35">
      <c r="A72" s="401">
        <v>39891</v>
      </c>
      <c r="B72" s="402">
        <v>6064652.8948148098</v>
      </c>
      <c r="D72" s="407" t="s">
        <v>557</v>
      </c>
      <c r="E72">
        <v>2.0887045808708639E+20</v>
      </c>
    </row>
    <row r="73" spans="1:5" ht="12.9" x14ac:dyDescent="0.35">
      <c r="A73" s="401">
        <v>39892</v>
      </c>
      <c r="B73" s="402">
        <v>5865811.8162962897</v>
      </c>
      <c r="D73" s="407" t="s">
        <v>558</v>
      </c>
      <c r="E73">
        <v>2.187845446212395E+20</v>
      </c>
    </row>
    <row r="74" spans="1:5" ht="12.9" x14ac:dyDescent="0.35">
      <c r="A74" s="401">
        <v>39893</v>
      </c>
      <c r="B74" s="402">
        <v>2485513.4814814799</v>
      </c>
      <c r="D74" s="407" t="s">
        <v>559</v>
      </c>
      <c r="E74">
        <v>2.1364499114732749E+20</v>
      </c>
    </row>
    <row r="75" spans="1:5" ht="12.9" x14ac:dyDescent="0.35">
      <c r="A75" s="401">
        <v>39894</v>
      </c>
      <c r="B75" s="402">
        <v>5915522.0859259199</v>
      </c>
      <c r="D75" s="407" t="s">
        <v>560</v>
      </c>
      <c r="E75">
        <v>2.0001846600088456E+20</v>
      </c>
    </row>
    <row r="76" spans="1:5" ht="12.9" x14ac:dyDescent="0.35">
      <c r="A76" s="401">
        <v>39895</v>
      </c>
      <c r="B76" s="402">
        <v>6462335.05185185</v>
      </c>
      <c r="D76" s="407" t="s">
        <v>561</v>
      </c>
      <c r="E76">
        <v>2.1084785750324255E+20</v>
      </c>
    </row>
    <row r="77" spans="1:5" ht="12.9" x14ac:dyDescent="0.35">
      <c r="A77" s="401">
        <v>39896</v>
      </c>
      <c r="B77" s="402">
        <v>5219578.3111111103</v>
      </c>
      <c r="D77" s="407" t="s">
        <v>562</v>
      </c>
      <c r="E77">
        <v>2.2826847342134221E+20</v>
      </c>
    </row>
    <row r="78" spans="1:5" ht="12.9" x14ac:dyDescent="0.35">
      <c r="A78" s="401">
        <v>39897</v>
      </c>
      <c r="B78" s="402">
        <v>5816101.5466666603</v>
      </c>
      <c r="D78" s="407" t="s">
        <v>563</v>
      </c>
      <c r="E78">
        <v>2.6294295259945707E+20</v>
      </c>
    </row>
    <row r="79" spans="1:5" ht="12.9" x14ac:dyDescent="0.35">
      <c r="A79" s="401">
        <v>39898</v>
      </c>
      <c r="B79" s="402">
        <v>5816101.5466666603</v>
      </c>
      <c r="D79" s="407" t="s">
        <v>564</v>
      </c>
      <c r="E79">
        <v>2.5525681330413447E+20</v>
      </c>
    </row>
    <row r="80" spans="1:5" ht="12.9" x14ac:dyDescent="0.35">
      <c r="A80" s="401">
        <v>39899</v>
      </c>
      <c r="B80" s="402">
        <v>5269288.5807407396</v>
      </c>
      <c r="D80" s="407" t="s">
        <v>565</v>
      </c>
      <c r="E80">
        <v>2.4830315068205367E+20</v>
      </c>
    </row>
    <row r="81" spans="1:6" ht="12.9" x14ac:dyDescent="0.35">
      <c r="A81" s="401">
        <v>39900</v>
      </c>
      <c r="B81" s="402">
        <v>5915522.0859259199</v>
      </c>
      <c r="D81" s="406" t="s">
        <v>571</v>
      </c>
      <c r="E81">
        <v>3.8143256270534417E+20</v>
      </c>
      <c r="F81" s="434">
        <f>AVERAGE(F83:F93)</f>
        <v>5.8276116375980708E-2</v>
      </c>
    </row>
    <row r="82" spans="1:6" ht="12.9" x14ac:dyDescent="0.35">
      <c r="A82" s="401">
        <v>39901</v>
      </c>
      <c r="B82" s="402">
        <v>5766391.2770370301</v>
      </c>
      <c r="D82" s="407" t="s">
        <v>554</v>
      </c>
      <c r="E82">
        <v>2.7342222712780338E+20</v>
      </c>
      <c r="F82" s="431">
        <f>GETPIVOTDATA("Hash Rate",$D$2,"Months (DateTime)",1,"Years (DateTime)",2023)/GETPIVOTDATA("Hash Rate",$D$2,"Months (DateTime)",12,"Years (DateTime)",2022)-1</f>
        <v>0.10116293883807415</v>
      </c>
    </row>
    <row r="83" spans="1:6" ht="12.9" x14ac:dyDescent="0.35">
      <c r="A83" s="401">
        <v>39902</v>
      </c>
      <c r="B83" s="402">
        <v>5965232.3555555502</v>
      </c>
      <c r="D83" s="407" t="s">
        <v>555</v>
      </c>
      <c r="E83">
        <v>2.9696490827382594E+20</v>
      </c>
      <c r="F83" s="431">
        <f>GETPIVOTDATA("Hash Rate",$D$2,"Months (DateTime)",2,"Years (DateTime)",2023)/GETPIVOTDATA("Hash Rate",$D$2,"Months (DateTime)",1,"Years (DateTime)",2023)-1</f>
        <v>8.6103757523042113E-2</v>
      </c>
    </row>
    <row r="84" spans="1:6" ht="12.9" x14ac:dyDescent="0.35">
      <c r="A84" s="401">
        <v>39903</v>
      </c>
      <c r="B84" s="402">
        <v>5468129.6592592504</v>
      </c>
      <c r="D84" s="407" t="s">
        <v>556</v>
      </c>
      <c r="E84">
        <v>3.3143909326012298E+20</v>
      </c>
      <c r="F84" s="431">
        <f>GETPIVOTDATA("Hash Rate",$D$2,"Months (DateTime)",3,"Years (DateTime)",2023)/GETPIVOTDATA("Hash Rate",$D$2,"Months (DateTime)",2,"Years (DateTime)",2023)-1</f>
        <v>0.1160884132293134</v>
      </c>
    </row>
    <row r="85" spans="1:6" ht="12.9" x14ac:dyDescent="0.35">
      <c r="A85" s="401">
        <v>39904</v>
      </c>
      <c r="B85" s="402">
        <v>5666970.7377777696</v>
      </c>
      <c r="D85" s="407" t="s">
        <v>557</v>
      </c>
      <c r="E85">
        <v>3.4248990972345896E+20</v>
      </c>
      <c r="F85" s="431">
        <f>GETPIVOTDATA("Hash Rate",$D$2,"Months (DateTime)",4,"Years (DateTime)",2023)/GETPIVOTDATA("Hash Rate",$D$2,"Months (DateTime)",3,"Years (DateTime)",2023)-1</f>
        <v>3.3341922205486485E-2</v>
      </c>
    </row>
    <row r="86" spans="1:6" ht="12.9" x14ac:dyDescent="0.35">
      <c r="A86" s="401">
        <v>39905</v>
      </c>
      <c r="B86" s="402">
        <v>5716681.0074073998</v>
      </c>
      <c r="D86" s="407" t="s">
        <v>558</v>
      </c>
      <c r="E86">
        <v>3.6085328776201326E+20</v>
      </c>
      <c r="F86" s="431">
        <f>GETPIVOTDATA("Hash Rate",$D$2,"Months (DateTime)",5,"Years (DateTime)",2023)/GETPIVOTDATA("Hash Rate",$D$2,"Months (DateTime)",4,"Years (DateTime)",2023)-1</f>
        <v>5.3617281902937464E-2</v>
      </c>
    </row>
    <row r="87" spans="1:6" ht="12.9" x14ac:dyDescent="0.35">
      <c r="A87" s="401">
        <v>39906</v>
      </c>
      <c r="B87" s="402">
        <v>5766391.2770370301</v>
      </c>
      <c r="D87" s="407" t="s">
        <v>559</v>
      </c>
      <c r="E87">
        <v>3.6968183885181393E+20</v>
      </c>
      <c r="F87" s="431">
        <f>GETPIVOTDATA("Hash Rate",$D$2,"Months (DateTime)",6,"Years (DateTime)",2023)/GETPIVOTDATA("Hash Rate",$D$2,"Months (DateTime)",5,"Years (DateTime)",2023)-1</f>
        <v>2.4465763204084112E-2</v>
      </c>
    </row>
    <row r="88" spans="1:6" ht="12.9" x14ac:dyDescent="0.35">
      <c r="A88" s="401">
        <v>39907</v>
      </c>
      <c r="B88" s="402">
        <v>5617260.4681481402</v>
      </c>
      <c r="D88" s="407" t="s">
        <v>560</v>
      </c>
      <c r="E88">
        <v>3.7844724781727292E+20</v>
      </c>
      <c r="F88" s="431">
        <f>GETPIVOTDATA("Hash Rate",$D$2,"Months (DateTime)",7,"Years (DateTime)",2023)/GETPIVOTDATA("Hash Rate",$D$2,"Months (DateTime)",6,"Years (DateTime)",2023)-1</f>
        <v>2.3710683199053673E-2</v>
      </c>
    </row>
    <row r="89" spans="1:6" ht="12.9" x14ac:dyDescent="0.35">
      <c r="A89" s="401">
        <v>39908</v>
      </c>
      <c r="B89" s="402">
        <v>6462335.05185185</v>
      </c>
      <c r="D89" s="407" t="s">
        <v>561</v>
      </c>
      <c r="E89">
        <v>3.8599662591867978E+20</v>
      </c>
      <c r="F89" s="431">
        <f>GETPIVOTDATA("Hash Rate",$D$2,"Months (DateTime)",8,"Years (DateTime)",2023)/GETPIVOTDATA("Hash Rate",$D$2,"Months (DateTime)",7,"Years (DateTime)",2023)-1</f>
        <v>1.9948297008231863E-2</v>
      </c>
    </row>
    <row r="90" spans="1:6" ht="12.9" x14ac:dyDescent="0.35">
      <c r="A90" s="401">
        <v>39909</v>
      </c>
      <c r="B90" s="402">
        <v>5418419.3896296201</v>
      </c>
      <c r="D90" s="407" t="s">
        <v>562</v>
      </c>
      <c r="E90">
        <v>4.0740102607233601E+20</v>
      </c>
      <c r="F90" s="431">
        <f>GETPIVOTDATA("Hash Rate",$D$2,"Months (DateTime)",9,"Years (DateTime)",2023)/GETPIVOTDATA("Hash Rate",$D$2,"Months (DateTime)",8,"Years (DateTime)",2023)-1</f>
        <v>5.5452298586064819E-2</v>
      </c>
    </row>
    <row r="91" spans="1:6" ht="12.9" x14ac:dyDescent="0.35">
      <c r="A91" s="401">
        <v>39910</v>
      </c>
      <c r="B91" s="402">
        <v>4971026.9629629599</v>
      </c>
      <c r="D91" s="407" t="s">
        <v>563</v>
      </c>
      <c r="E91">
        <v>4.440293849812315E+20</v>
      </c>
      <c r="F91" s="431">
        <f>GETPIVOTDATA("Hash Rate",$D$2,"Months (DateTime)",10,"Years (DateTime)",2023)/GETPIVOTDATA("Hash Rate",$D$2,"Months (DateTime)",9,"Years (DateTime)",2023)-1</f>
        <v>8.9907380111487356E-2</v>
      </c>
    </row>
    <row r="92" spans="1:6" ht="12.9" x14ac:dyDescent="0.35">
      <c r="A92" s="401">
        <v>39911</v>
      </c>
      <c r="B92" s="402">
        <v>5219578.3111111103</v>
      </c>
      <c r="D92" s="407" t="s">
        <v>564</v>
      </c>
      <c r="E92">
        <v>4.7284018654512277E+20</v>
      </c>
      <c r="F92" s="431">
        <f>GETPIVOTDATA("Hash Rate",$D$2,"Months (DateTime)",11,"Years (DateTime)",2023)/GETPIVOTDATA("Hash Rate",$D$2,"Months (DateTime)",10,"Years (DateTime)",2023)-1</f>
        <v>6.4884898473800412E-2</v>
      </c>
    </row>
    <row r="93" spans="1:6" ht="12.9" x14ac:dyDescent="0.35">
      <c r="A93" s="401">
        <v>39912</v>
      </c>
      <c r="B93" s="402">
        <v>4921316.6933333296</v>
      </c>
      <c r="D93" s="407" t="s">
        <v>565</v>
      </c>
      <c r="E93">
        <v>5.0760178216518366E+20</v>
      </c>
      <c r="F93" s="431">
        <f>GETPIVOTDATA("Hash Rate",$D$2,"Months (DateTime)",12,"Years (DateTime)",2023)/GETPIVOTDATA("Hash Rate",$D$2,"Months (DateTime)",11,"Years (DateTime)",2023)-1</f>
        <v>7.3516584692286058E-2</v>
      </c>
    </row>
    <row r="94" spans="1:6" ht="12.9" x14ac:dyDescent="0.35">
      <c r="A94" s="401">
        <v>39913</v>
      </c>
      <c r="B94" s="402">
        <v>5368709.1200000001</v>
      </c>
      <c r="D94" s="406" t="s">
        <v>572</v>
      </c>
      <c r="E94">
        <v>6.3342168038240197E+20</v>
      </c>
      <c r="F94" s="434">
        <f>AVERAGE(F96:F106)</f>
        <v>3.7964946607831236E-2</v>
      </c>
    </row>
    <row r="95" spans="1:6" ht="12.9" x14ac:dyDescent="0.35">
      <c r="A95" s="401">
        <v>39914</v>
      </c>
      <c r="B95" s="402">
        <v>5965232.3555555502</v>
      </c>
      <c r="D95" s="407" t="s">
        <v>554</v>
      </c>
      <c r="E95">
        <v>5.2156425872945735E+20</v>
      </c>
      <c r="F95" s="431">
        <f>GETPIVOTDATA("Hash Rate",$D$2,"Months (DateTime)",1,"Years (DateTime)",2024)/GETPIVOTDATA("Hash Rate",$D$2,"Months (DateTime)",12,"Years (DateTime)",2023)-1</f>
        <v>2.7506752448182015E-2</v>
      </c>
    </row>
    <row r="96" spans="1:6" ht="12.9" x14ac:dyDescent="0.35">
      <c r="A96" s="401">
        <v>39915</v>
      </c>
      <c r="B96" s="402">
        <v>5865811.8162962897</v>
      </c>
      <c r="D96" s="407" t="s">
        <v>555</v>
      </c>
      <c r="E96">
        <v>5.7374877217267725E+20</v>
      </c>
      <c r="F96" s="431">
        <f>GETPIVOTDATA("Hash Rate",$D$2,"Months (DateTime)",2,"Years (DateTime)",2024)/GETPIVOTDATA("Hash Rate",$D$2,"Months (DateTime)",1,"Years (DateTime)",2024)-1</f>
        <v>0.10005385255949584</v>
      </c>
    </row>
    <row r="97" spans="1:6" ht="12.9" x14ac:dyDescent="0.35">
      <c r="A97" s="401">
        <v>39916</v>
      </c>
      <c r="B97" s="402">
        <v>5716681.0074073998</v>
      </c>
      <c r="D97" s="407" t="s">
        <v>556</v>
      </c>
      <c r="E97">
        <v>5.9872404543679431E+20</v>
      </c>
      <c r="F97" s="431">
        <f>GETPIVOTDATA("Hash Rate",$D$2,"Months (DateTime)",3,"Years (DateTime)",2024)/GETPIVOTDATA("Hash Rate",$D$2,"Months (DateTime)",2,"Years (DateTime)",2024)-1</f>
        <v>4.3529981196370082E-2</v>
      </c>
    </row>
    <row r="98" spans="1:6" ht="12.9" x14ac:dyDescent="0.35">
      <c r="A98" s="401">
        <v>39917</v>
      </c>
      <c r="B98" s="402">
        <v>6164073.4340740703</v>
      </c>
      <c r="D98" s="407" t="s">
        <v>557</v>
      </c>
      <c r="E98">
        <v>6.2506191939859291E+20</v>
      </c>
      <c r="F98" s="431">
        <f>GETPIVOTDATA("Hash Rate",$D$2,"Months (DateTime)",4,"Years (DateTime)",2024)/GETPIVOTDATA("Hash Rate",$D$2,"Months (DateTime)",3,"Years (DateTime)",2024)-1</f>
        <v>4.3990005349766825E-2</v>
      </c>
    </row>
    <row r="99" spans="1:6" ht="12.9" x14ac:dyDescent="0.35">
      <c r="A99" s="401">
        <v>39918</v>
      </c>
      <c r="B99" s="402">
        <v>5617260.4681481402</v>
      </c>
      <c r="D99" s="407" t="s">
        <v>558</v>
      </c>
      <c r="E99">
        <v>5.9901312977338184E+20</v>
      </c>
      <c r="F99" s="431">
        <f>GETPIVOTDATA("Hash Rate",$D$2,"Months (DateTime)",5,"Years (DateTime)",2024)/GETPIVOTDATA("Hash Rate",$D$2,"Months (DateTime)",4,"Years (DateTime)",2024)-1</f>
        <v>-4.1673934720377837E-2</v>
      </c>
    </row>
    <row r="100" spans="1:6" ht="12.9" x14ac:dyDescent="0.35">
      <c r="A100" s="401">
        <v>39919</v>
      </c>
      <c r="B100" s="402">
        <v>6114363.16444444</v>
      </c>
      <c r="D100" s="407" t="s">
        <v>559</v>
      </c>
      <c r="E100">
        <v>5.8037204527182257E+20</v>
      </c>
      <c r="F100" s="431">
        <f>GETPIVOTDATA("Hash Rate",$D$2,"Months (DateTime)",6,"Years (DateTime)",2024)/GETPIVOTDATA("Hash Rate",$D$2,"Months (DateTime)",5,"Years (DateTime)",2024)-1</f>
        <v>-3.1119659277938583E-2</v>
      </c>
    </row>
    <row r="101" spans="1:6" ht="12.9" x14ac:dyDescent="0.35">
      <c r="A101" s="401">
        <v>39920</v>
      </c>
      <c r="B101" s="402">
        <v>5567550.19851851</v>
      </c>
      <c r="D101" s="407" t="s">
        <v>560</v>
      </c>
      <c r="E101">
        <v>6.1490295318635715E+20</v>
      </c>
      <c r="F101" s="431">
        <f>GETPIVOTDATA("Hash Rate",$D$2,"Months (DateTime)",7,"Years (DateTime)",2024)/GETPIVOTDATA("Hash Rate",$D$2,"Months (DateTime)",6,"Years (DateTime)",2024)-1</f>
        <v>5.9497882773388522E-2</v>
      </c>
    </row>
    <row r="102" spans="1:6" ht="12.9" x14ac:dyDescent="0.35">
      <c r="A102" s="401">
        <v>39921</v>
      </c>
      <c r="B102" s="402">
        <v>6263493.9733333299</v>
      </c>
      <c r="D102" s="407" t="s">
        <v>561</v>
      </c>
      <c r="E102">
        <v>6.3060223233671443E+20</v>
      </c>
      <c r="F102" s="431">
        <f>GETPIVOTDATA("Hash Rate",$D$2,"Months (DateTime)",8,"Years (DateTime)",2024)/GETPIVOTDATA("Hash Rate",$D$2,"Months (DateTime)",7,"Years (DateTime)",2024)-1</f>
        <v>2.5531312004610562E-2</v>
      </c>
    </row>
    <row r="103" spans="1:6" ht="12.9" x14ac:dyDescent="0.35">
      <c r="A103" s="401">
        <v>39922</v>
      </c>
      <c r="B103" s="402">
        <v>5915522.0859259199</v>
      </c>
      <c r="D103" s="407" t="s">
        <v>562</v>
      </c>
      <c r="E103">
        <v>6.4171326447355678E+20</v>
      </c>
      <c r="F103" s="431">
        <f>GETPIVOTDATA("Hash Rate",$D$2,"Months (DateTime)",9,"Years (DateTime)",2024)/GETPIVOTDATA("Hash Rate",$D$2,"Months (DateTime)",8,"Years (DateTime)",2024)-1</f>
        <v>1.7619715832070781E-2</v>
      </c>
    </row>
    <row r="104" spans="1:6" ht="12.9" x14ac:dyDescent="0.35">
      <c r="A104" s="401">
        <v>39923</v>
      </c>
      <c r="B104" s="402">
        <v>5915522.0859259199</v>
      </c>
      <c r="D104" s="407" t="s">
        <v>563</v>
      </c>
      <c r="E104">
        <v>7.0355935641209943E+20</v>
      </c>
      <c r="F104" s="431">
        <f>GETPIVOTDATA("Hash Rate",$D$2,"Months (DateTime)",10,"Years (DateTime)",2024)/GETPIVOTDATA("Hash Rate",$D$2,"Months (DateTime)",9,"Years (DateTime)",2024)-1</f>
        <v>9.6376521045235641E-2</v>
      </c>
    </row>
    <row r="105" spans="1:6" ht="12.9" x14ac:dyDescent="0.35">
      <c r="A105" s="401">
        <v>39924</v>
      </c>
      <c r="B105" s="402">
        <v>6114363.16444444</v>
      </c>
      <c r="D105" s="407" t="s">
        <v>564</v>
      </c>
      <c r="E105">
        <v>7.310093065182114E+20</v>
      </c>
      <c r="F105" s="431">
        <f>GETPIVOTDATA("Hash Rate",$D$2,"Months (DateTime)",11,"Years (DateTime)",2024)/GETPIVOTDATA("Hash Rate",$D$2,"Months (DateTime)",10,"Years (DateTime)",2024)-1</f>
        <v>3.9015826960353328E-2</v>
      </c>
    </row>
    <row r="106" spans="1:6" ht="12.9" x14ac:dyDescent="0.35">
      <c r="A106" s="401">
        <v>39925</v>
      </c>
      <c r="B106" s="402">
        <v>6014942.6251851805</v>
      </c>
      <c r="D106" s="407" t="s">
        <v>565</v>
      </c>
      <c r="E106">
        <v>7.7837352596667485E+20</v>
      </c>
      <c r="F106" s="431">
        <f>GETPIVOTDATA("Hash Rate",$D$2,"Months (DateTime)",12,"Years (DateTime)",2024)/GETPIVOTDATA("Hash Rate",$D$2,"Months (DateTime)",11,"Years (DateTime)",2024)-1</f>
        <v>6.4792908963168472E-2</v>
      </c>
    </row>
    <row r="107" spans="1:6" ht="12.9" x14ac:dyDescent="0.35">
      <c r="A107" s="401">
        <v>39926</v>
      </c>
      <c r="B107" s="402">
        <v>3728270.2222222202</v>
      </c>
      <c r="D107" s="406" t="s">
        <v>573</v>
      </c>
      <c r="E107">
        <v>9.2920097759604585E+20</v>
      </c>
      <c r="F107" s="434">
        <f>AVERAGE(F109:F119)</f>
        <v>2.7828671012148566E-2</v>
      </c>
    </row>
    <row r="108" spans="1:6" ht="12.9" x14ac:dyDescent="0.35">
      <c r="A108" s="401">
        <v>39927</v>
      </c>
      <c r="B108" s="402">
        <v>5716681.0074073998</v>
      </c>
      <c r="D108" s="407" t="s">
        <v>554</v>
      </c>
      <c r="E108">
        <v>7.8070936175979935E+20</v>
      </c>
      <c r="F108" s="431">
        <f>GETPIVOTDATA("Hash Rate",$D$2,"Months (DateTime)",1,"Years (DateTime)",2025)/GETPIVOTDATA("Hash Rate",$D$2,"Months (DateTime)",12,"Years (DateTime)",2024)-1</f>
        <v>3.0009188586206381E-3</v>
      </c>
    </row>
    <row r="109" spans="1:6" ht="12.9" x14ac:dyDescent="0.35">
      <c r="A109" s="401">
        <v>39928</v>
      </c>
      <c r="B109" s="402">
        <v>5865811.8162962897</v>
      </c>
      <c r="D109" s="407" t="s">
        <v>555</v>
      </c>
      <c r="E109">
        <v>8.1090087682113313E+20</v>
      </c>
      <c r="F109" s="431">
        <f>GETPIVOTDATA("Hash Rate",$D$2,"Months (DateTime)",2,"Years (DateTime)",2025)/GETPIVOTDATA("Hash Rate",$D$2,"Months (DateTime)",1,"Years (DateTime)",2025)-1</f>
        <v>3.8671900889313049E-2</v>
      </c>
    </row>
    <row r="110" spans="1:6" ht="12.9" x14ac:dyDescent="0.35">
      <c r="A110" s="401">
        <v>39929</v>
      </c>
      <c r="B110" s="402">
        <v>5567550.19851851</v>
      </c>
      <c r="D110" s="407" t="s">
        <v>556</v>
      </c>
      <c r="E110">
        <v>8.1678137351339953E+20</v>
      </c>
      <c r="F110" s="431">
        <f>GETPIVOTDATA("Hash Rate",$D$2,"Months (DateTime)",3,"Years (DateTime)",2025)/GETPIVOTDATA("Hash Rate",$D$2,"Months (DateTime)",2,"Years (DateTime)",2025)-1</f>
        <v>7.2518070461571327E-3</v>
      </c>
    </row>
    <row r="111" spans="1:6" ht="12.9" x14ac:dyDescent="0.35">
      <c r="A111" s="401">
        <v>39930</v>
      </c>
      <c r="B111" s="402">
        <v>5169868.04148148</v>
      </c>
      <c r="D111" s="407" t="s">
        <v>557</v>
      </c>
      <c r="E111">
        <v>8.6896699307864818E+20</v>
      </c>
      <c r="F111" s="431">
        <f>GETPIVOTDATA("Hash Rate",$D$2,"Months (DateTime)",4,"Years (DateTime)",2025)/GETPIVOTDATA("Hash Rate",$D$2,"Months (DateTime)",3,"Years (DateTime)",2025)-1</f>
        <v>6.3891784579723332E-2</v>
      </c>
    </row>
    <row r="112" spans="1:6" ht="12.9" x14ac:dyDescent="0.35">
      <c r="A112" s="401">
        <v>39931</v>
      </c>
      <c r="B112" s="402">
        <v>5816101.5466666603</v>
      </c>
      <c r="D112" s="407" t="s">
        <v>558</v>
      </c>
      <c r="E112">
        <v>8.970545913366083E+20</v>
      </c>
      <c r="F112" s="431">
        <f>GETPIVOTDATA("Hash Rate",$D$2,"Months (DateTime)",5,"Years (DateTime)",2025)/GETPIVOTDATA("Hash Rate",$D$2,"Months (DateTime)",4,"Years (DateTime)",2025)-1</f>
        <v>3.2322974844474883E-2</v>
      </c>
    </row>
    <row r="113" spans="1:9" ht="12.9" x14ac:dyDescent="0.35">
      <c r="A113" s="401">
        <v>39932</v>
      </c>
      <c r="B113" s="402">
        <v>6362914.5125925904</v>
      </c>
      <c r="D113" s="407" t="s">
        <v>559</v>
      </c>
      <c r="E113">
        <v>8.6777993269080215E+20</v>
      </c>
      <c r="F113" s="431">
        <f>GETPIVOTDATA("Hash Rate",$D$2,"Months (DateTime)",6,"Years (DateTime)",2025)/GETPIVOTDATA("Hash Rate",$D$2,"Months (DateTime)",5,"Years (DateTime)",2025)-1</f>
        <v>-3.2634199666919939E-2</v>
      </c>
    </row>
    <row r="114" spans="1:9" ht="12.9" x14ac:dyDescent="0.35">
      <c r="A114" s="401">
        <v>39933</v>
      </c>
      <c r="B114" s="402">
        <v>6512045.3214814803</v>
      </c>
      <c r="D114" s="407" t="s">
        <v>560</v>
      </c>
      <c r="E114">
        <v>9.0270302729731703E+20</v>
      </c>
      <c r="F114" s="431">
        <f>GETPIVOTDATA("Hash Rate",$D$2,"Months (DateTime)",7,"Years (DateTime)",2025)/GETPIVOTDATA("Hash Rate",$D$2,"Months (DateTime)",6,"Years (DateTime)",2025)-1</f>
        <v>4.0244183220768504E-2</v>
      </c>
    </row>
    <row r="115" spans="1:9" ht="12.9" x14ac:dyDescent="0.35">
      <c r="A115" s="401">
        <v>39934</v>
      </c>
      <c r="B115" s="402">
        <v>6014942.6251851805</v>
      </c>
      <c r="D115" s="407" t="s">
        <v>561</v>
      </c>
      <c r="E115">
        <v>9.4935211829555429E+20</v>
      </c>
      <c r="F115" s="431">
        <f>GETPIVOTDATA("Hash Rate",$D$2,"Months (DateTime)",8,"Years (DateTime)",2025)/GETPIVOTDATA("Hash Rate",$D$2,"Months (DateTime)",7,"Years (DateTime)",2025)-1</f>
        <v>5.1677118152471557E-2</v>
      </c>
    </row>
    <row r="116" spans="1:9" ht="12.9" x14ac:dyDescent="0.35">
      <c r="A116" s="401">
        <v>39935</v>
      </c>
      <c r="B116" s="402">
        <v>6263493.9733333299</v>
      </c>
      <c r="D116" s="407" t="s">
        <v>562</v>
      </c>
      <c r="E116">
        <v>1.0343350237736065E+21</v>
      </c>
      <c r="F116" s="431">
        <f>GETPIVOTDATA("Hash Rate",$D$2,"Months (DateTime)",9,"Years (DateTime)",2025)/GETPIVOTDATA("Hash Rate",$D$2,"Months (DateTime)",8,"Years (DateTime)",2025)-1</f>
        <v>8.9516738668713014E-2</v>
      </c>
    </row>
    <row r="117" spans="1:9" ht="12.9" x14ac:dyDescent="0.35">
      <c r="A117" s="401">
        <v>39936</v>
      </c>
      <c r="B117" s="402">
        <v>5269288.5807407396</v>
      </c>
      <c r="D117" s="407" t="s">
        <v>563</v>
      </c>
      <c r="E117">
        <v>1.0848499997466425E+21</v>
      </c>
      <c r="F117" s="431">
        <f>GETPIVOTDATA("Hash Rate",$D$2,"Months (DateTime)",10,"Years (DateTime)",2025)/GETPIVOTDATA("Hash Rate",$D$2,"Months (DateTime)",9,"Years (DateTime)",2025)-1</f>
        <v>4.883811802943705E-2</v>
      </c>
    </row>
    <row r="118" spans="1:9" ht="12.9" x14ac:dyDescent="0.35">
      <c r="A118" s="401">
        <v>39937</v>
      </c>
      <c r="B118" s="402">
        <v>6362914.5125925904</v>
      </c>
      <c r="D118" s="407" t="s">
        <v>564</v>
      </c>
      <c r="E118">
        <v>1.0814777336085162E+21</v>
      </c>
      <c r="F118" s="431">
        <f>GETPIVOTDATA("Hash Rate",$D$2,"Months (DateTime)",11,"Years (DateTime)",2025)/GETPIVOTDATA("Hash Rate",$D$2,"Months (DateTime)",10,"Years (DateTime)",2025)-1</f>
        <v>-3.1085091385111285E-3</v>
      </c>
    </row>
    <row r="119" spans="1:9" ht="12.9" x14ac:dyDescent="0.35">
      <c r="A119" s="401">
        <v>39938</v>
      </c>
      <c r="B119" s="402">
        <v>6710886.4000000004</v>
      </c>
      <c r="D119" s="407" t="s">
        <v>565</v>
      </c>
      <c r="E119">
        <v>1.0484315208577072E+21</v>
      </c>
      <c r="F119" s="431">
        <f>GETPIVOTDATA("Hash Rate",$D$2,"Months (DateTime)",12,"Years (DateTime)",2025)/GETPIVOTDATA("Hash Rate",$D$2,"Months (DateTime)",11,"Years (DateTime)",2025)-1</f>
        <v>-3.055653549199322E-2</v>
      </c>
    </row>
    <row r="120" spans="1:9" ht="12.9" x14ac:dyDescent="0.35">
      <c r="A120" s="401">
        <v>39939</v>
      </c>
      <c r="B120" s="402">
        <v>6710886.4000000004</v>
      </c>
      <c r="D120" s="406" t="s">
        <v>574</v>
      </c>
      <c r="E120">
        <v>9.8419943555522468E+20</v>
      </c>
      <c r="F120" s="435">
        <f>AVERAGE(F122:F125)</f>
        <v>2.0095544897191231E-3</v>
      </c>
    </row>
    <row r="121" spans="1:9" ht="12.9" x14ac:dyDescent="0.35">
      <c r="A121" s="401">
        <v>39940</v>
      </c>
      <c r="B121" s="402">
        <v>6064652.8948148098</v>
      </c>
      <c r="D121" s="407" t="s">
        <v>554</v>
      </c>
      <c r="E121">
        <v>9.8112705490176875E+20</v>
      </c>
      <c r="F121" s="431">
        <f>GETPIVOTDATA("Hash Rate",$D$2,"Months (DateTime)",1,"Years (DateTime)",2026)/GETPIVOTDATA("Hash Rate",$D$2,"Months (DateTime)",12,"Years (DateTime)",2025)-1</f>
        <v>-6.4195385790077775E-2</v>
      </c>
    </row>
    <row r="122" spans="1:9" ht="12.9" x14ac:dyDescent="0.35">
      <c r="A122" s="401">
        <v>39941</v>
      </c>
      <c r="B122" s="402">
        <v>5318998.8503703699</v>
      </c>
      <c r="D122" s="407" t="s">
        <v>555</v>
      </c>
      <c r="E122">
        <v>1.0170586767384931E+21</v>
      </c>
      <c r="F122" s="431">
        <f>(GETPIVOTDATA("Hash Rate",$D$2,"Months (DateTime)",2,"Years (DateTime)",2026)/GETPIVOTDATA("Hash Rate",$D$2,"Months (DateTime)",1,"Years (DateTime)",2026))-1</f>
        <v>3.6622801967602259E-2</v>
      </c>
    </row>
    <row r="123" spans="1:9" ht="12.9" x14ac:dyDescent="0.35">
      <c r="A123" s="401">
        <v>39942</v>
      </c>
      <c r="B123" s="402">
        <v>3877401.03111111</v>
      </c>
      <c r="D123" s="407" t="s">
        <v>556</v>
      </c>
      <c r="E123">
        <v>9.8109383021397318E+20</v>
      </c>
      <c r="F123" s="431">
        <f>(GETPIVOTDATA("Hash Rate",$D$2,"Months (DateTime)",3,"Years (DateTime)",2026)/GETPIVOTDATA("Hash Rate",$D$2,"Months (DateTime)",2,"Years (DateTime)",2026))-1</f>
        <v>-3.5361624011558623E-2</v>
      </c>
    </row>
    <row r="124" spans="1:9" ht="12.9" x14ac:dyDescent="0.35">
      <c r="A124" s="401">
        <v>39943</v>
      </c>
      <c r="B124" s="402">
        <v>4225372.9185185097</v>
      </c>
      <c r="D124" s="407" t="s">
        <v>557</v>
      </c>
      <c r="E124">
        <v>9.5876128740364963E+20</v>
      </c>
      <c r="F124" s="431">
        <f>(GETPIVOTDATA("Hash Rate",$D$2,"Months (DateTime)",4,"Years (DateTime)",2026)/GETPIVOTDATA("Hash Rate",$D$2,"Months (DateTime)",3,"Years (DateTime)",2026))-1</f>
        <v>-2.2762902102292148E-2</v>
      </c>
    </row>
    <row r="125" spans="1:9" ht="12.9" x14ac:dyDescent="0.35">
      <c r="A125" s="401">
        <v>39944</v>
      </c>
      <c r="B125" s="402">
        <v>5965232.3555555502</v>
      </c>
      <c r="D125" s="407" t="s">
        <v>558</v>
      </c>
      <c r="E125">
        <v>9.8708304032618866E+20</v>
      </c>
      <c r="F125" s="431">
        <f>(GETPIVOTDATA("Hash Rate",$D$2,"Months (DateTime)",5,"Years (DateTime)",2026)/GETPIVOTDATA("Hash Rate",$D$2,"Months (DateTime)",4,"Years (DateTime)",2026))-1</f>
        <v>2.9539942105125006E-2</v>
      </c>
    </row>
    <row r="126" spans="1:9" ht="12.9" x14ac:dyDescent="0.35">
      <c r="A126" s="401">
        <v>39945</v>
      </c>
      <c r="B126" s="402">
        <v>6462335.05185185</v>
      </c>
      <c r="D126" s="406" t="s">
        <v>575</v>
      </c>
      <c r="E126">
        <v>3.0909784329364E+20</v>
      </c>
    </row>
    <row r="127" spans="1:9" ht="12.9" x14ac:dyDescent="0.35">
      <c r="A127" s="401"/>
      <c r="B127" s="402"/>
      <c r="E127" s="408"/>
      <c r="F127" s="408"/>
      <c r="H127" s="408"/>
      <c r="I127" s="413"/>
    </row>
    <row r="128" spans="1:9" ht="12.9" x14ac:dyDescent="0.35">
      <c r="A128" s="401"/>
      <c r="B128" s="402"/>
      <c r="E128" s="408"/>
      <c r="F128" s="408"/>
      <c r="I128" s="413"/>
    </row>
    <row r="129" spans="1:9" ht="12.9" x14ac:dyDescent="0.35">
      <c r="A129" s="401"/>
      <c r="B129" s="402"/>
      <c r="E129" s="408"/>
      <c r="F129" s="408"/>
      <c r="I129" s="413"/>
    </row>
    <row r="130" spans="1:9" ht="12.9" x14ac:dyDescent="0.35">
      <c r="A130" s="401"/>
      <c r="B130" s="402"/>
      <c r="E130" s="408"/>
      <c r="F130" s="408"/>
      <c r="I130" s="413"/>
    </row>
    <row r="131" spans="1:9" ht="12.9" x14ac:dyDescent="0.35">
      <c r="A131" s="401"/>
      <c r="B131" s="402"/>
      <c r="E131" s="408"/>
      <c r="F131" s="408"/>
      <c r="I131" s="413"/>
    </row>
    <row r="132" spans="1:9" ht="12.9" x14ac:dyDescent="0.35">
      <c r="A132" s="401"/>
      <c r="B132" s="402"/>
      <c r="E132" s="408"/>
      <c r="F132" s="408"/>
      <c r="I132" s="413"/>
    </row>
    <row r="133" spans="1:9" ht="12.9" x14ac:dyDescent="0.35">
      <c r="A133" s="401"/>
      <c r="B133" s="402"/>
      <c r="E133" s="408"/>
      <c r="F133" s="408"/>
      <c r="I133" s="413"/>
    </row>
    <row r="134" spans="1:9" ht="12.9" x14ac:dyDescent="0.35">
      <c r="A134" s="401"/>
      <c r="B134" s="402"/>
      <c r="E134" s="408"/>
      <c r="F134" s="408"/>
      <c r="I134" s="413"/>
    </row>
    <row r="135" spans="1:9" ht="12.9" x14ac:dyDescent="0.35">
      <c r="A135" s="401"/>
      <c r="B135" s="402"/>
      <c r="E135" s="408"/>
      <c r="F135" s="408"/>
      <c r="I135" s="413"/>
    </row>
    <row r="136" spans="1:9" ht="12.9" x14ac:dyDescent="0.35">
      <c r="A136" s="401"/>
      <c r="B136" s="402"/>
      <c r="E136" s="408"/>
      <c r="F136" s="408"/>
      <c r="I136" s="413"/>
    </row>
    <row r="137" spans="1:9" ht="12.9" x14ac:dyDescent="0.35">
      <c r="A137" s="401"/>
      <c r="B137" s="402"/>
      <c r="E137" s="408"/>
      <c r="F137" s="408"/>
      <c r="I137" s="413"/>
    </row>
    <row r="138" spans="1:9" ht="12.9" x14ac:dyDescent="0.35">
      <c r="A138" s="401"/>
      <c r="B138" s="402"/>
      <c r="E138" s="408"/>
      <c r="F138" s="408"/>
      <c r="I138" s="413"/>
    </row>
    <row r="139" spans="1:9" ht="12.9" x14ac:dyDescent="0.35">
      <c r="A139" s="401"/>
      <c r="B139" s="402"/>
      <c r="E139" s="408"/>
      <c r="F139" s="408"/>
      <c r="I139" s="413"/>
    </row>
    <row r="140" spans="1:9" ht="12.9" x14ac:dyDescent="0.35">
      <c r="A140" s="401"/>
      <c r="B140" s="402"/>
      <c r="E140" s="408"/>
      <c r="F140" s="408"/>
      <c r="I140" s="413"/>
    </row>
    <row r="141" spans="1:9" ht="12.9" x14ac:dyDescent="0.35">
      <c r="A141" s="401"/>
      <c r="B141" s="402"/>
      <c r="E141" s="408"/>
      <c r="F141" s="408"/>
      <c r="I141" s="413"/>
    </row>
    <row r="142" spans="1:9" ht="12.9" x14ac:dyDescent="0.35">
      <c r="A142" s="401"/>
      <c r="B142" s="402"/>
      <c r="E142" s="408"/>
      <c r="F142" s="408"/>
      <c r="I142" s="413"/>
    </row>
    <row r="143" spans="1:9" ht="12.9" x14ac:dyDescent="0.35">
      <c r="A143" s="401"/>
      <c r="B143" s="402"/>
      <c r="E143" s="408"/>
      <c r="F143" s="408"/>
      <c r="I143" s="413"/>
    </row>
    <row r="144" spans="1:9" ht="12.9" x14ac:dyDescent="0.35">
      <c r="A144" s="401"/>
      <c r="B144" s="402"/>
      <c r="E144" s="408"/>
      <c r="F144" s="408"/>
      <c r="I144" s="413"/>
    </row>
    <row r="145" spans="1:9" ht="12.9" x14ac:dyDescent="0.35">
      <c r="A145" s="401"/>
      <c r="B145" s="402"/>
      <c r="E145" s="408"/>
      <c r="F145" s="408"/>
      <c r="I145" s="413"/>
    </row>
    <row r="146" spans="1:9" ht="12.9" x14ac:dyDescent="0.35">
      <c r="A146" s="401"/>
      <c r="B146" s="402"/>
      <c r="E146" s="408"/>
      <c r="F146" s="408"/>
      <c r="I146" s="413"/>
    </row>
    <row r="147" spans="1:9" ht="12.9" x14ac:dyDescent="0.35">
      <c r="A147" s="401"/>
      <c r="B147" s="402"/>
      <c r="E147" s="408"/>
      <c r="F147" s="408"/>
      <c r="I147" s="413"/>
    </row>
    <row r="148" spans="1:9" ht="12.9" x14ac:dyDescent="0.35">
      <c r="A148" s="401"/>
      <c r="B148" s="402"/>
      <c r="E148" s="408"/>
      <c r="F148" s="408"/>
      <c r="I148" s="413"/>
    </row>
    <row r="149" spans="1:9" ht="12.9" x14ac:dyDescent="0.35">
      <c r="A149" s="401"/>
      <c r="B149" s="402"/>
      <c r="E149" s="408"/>
      <c r="F149" s="408"/>
      <c r="I149" s="413"/>
    </row>
    <row r="150" spans="1:9" ht="12.9" x14ac:dyDescent="0.35">
      <c r="A150" s="401"/>
      <c r="B150" s="402"/>
      <c r="E150" s="408"/>
      <c r="F150" s="408"/>
      <c r="I150" s="413"/>
    </row>
    <row r="151" spans="1:9" ht="12.9" x14ac:dyDescent="0.35">
      <c r="A151" s="401"/>
      <c r="B151" s="402"/>
      <c r="E151" s="408"/>
      <c r="F151" s="408"/>
      <c r="I151" s="413"/>
    </row>
    <row r="152" spans="1:9" ht="12.9" x14ac:dyDescent="0.35">
      <c r="A152" s="401"/>
      <c r="B152" s="402"/>
      <c r="E152" s="408"/>
      <c r="F152" s="408"/>
      <c r="I152" s="413"/>
    </row>
    <row r="153" spans="1:9" ht="12.9" x14ac:dyDescent="0.35">
      <c r="A153" s="401"/>
      <c r="B153" s="402"/>
      <c r="E153" s="408"/>
      <c r="F153" s="408"/>
      <c r="I153" s="413"/>
    </row>
    <row r="154" spans="1:9" ht="12.9" x14ac:dyDescent="0.35">
      <c r="A154" s="401"/>
      <c r="B154" s="402"/>
      <c r="E154" s="408"/>
      <c r="F154" s="408"/>
      <c r="I154" s="413"/>
    </row>
    <row r="155" spans="1:9" ht="12.9" x14ac:dyDescent="0.35">
      <c r="A155" s="401"/>
      <c r="B155" s="402"/>
      <c r="E155" s="408"/>
      <c r="F155" s="408"/>
      <c r="I155" s="413"/>
    </row>
    <row r="156" spans="1:9" ht="12.9" x14ac:dyDescent="0.35">
      <c r="A156" s="401"/>
      <c r="B156" s="402"/>
      <c r="E156" s="408"/>
      <c r="F156" s="408"/>
      <c r="I156" s="413"/>
    </row>
    <row r="157" spans="1:9" ht="12.9" x14ac:dyDescent="0.35">
      <c r="A157" s="401"/>
      <c r="B157" s="402"/>
      <c r="E157" s="408"/>
      <c r="F157" s="408"/>
      <c r="I157" s="413"/>
    </row>
    <row r="158" spans="1:9" ht="12.9" x14ac:dyDescent="0.35">
      <c r="A158" s="401"/>
      <c r="B158" s="402"/>
      <c r="E158" s="408"/>
      <c r="F158" s="408"/>
      <c r="I158" s="413"/>
    </row>
    <row r="159" spans="1:9" ht="12.9" x14ac:dyDescent="0.35">
      <c r="A159" s="401"/>
      <c r="B159" s="402"/>
      <c r="E159" s="408"/>
      <c r="F159" s="408"/>
      <c r="I159" s="413"/>
    </row>
    <row r="160" spans="1:9" ht="12.9" x14ac:dyDescent="0.35">
      <c r="A160" s="401"/>
      <c r="B160" s="402"/>
      <c r="E160" s="408"/>
      <c r="F160" s="408"/>
      <c r="I160" s="413"/>
    </row>
    <row r="161" spans="1:9" ht="12.9" x14ac:dyDescent="0.35">
      <c r="A161" s="401"/>
      <c r="B161" s="402"/>
      <c r="E161" s="408"/>
      <c r="F161" s="408"/>
      <c r="I161" s="413"/>
    </row>
    <row r="162" spans="1:9" ht="12.9" x14ac:dyDescent="0.35">
      <c r="A162" s="401"/>
      <c r="B162" s="402"/>
      <c r="E162" s="408"/>
      <c r="F162" s="408"/>
      <c r="I162" s="413"/>
    </row>
    <row r="163" spans="1:9" ht="12.9" x14ac:dyDescent="0.35">
      <c r="A163" s="401"/>
      <c r="B163" s="402"/>
      <c r="E163" s="408"/>
      <c r="F163" s="408"/>
      <c r="I163" s="413"/>
    </row>
    <row r="164" spans="1:9" ht="12.9" x14ac:dyDescent="0.35">
      <c r="A164" s="401"/>
      <c r="B164" s="402"/>
      <c r="E164" s="408"/>
      <c r="F164" s="408"/>
      <c r="I164" s="413"/>
    </row>
    <row r="165" spans="1:9" ht="12.9" x14ac:dyDescent="0.35">
      <c r="A165" s="401"/>
      <c r="B165" s="402"/>
      <c r="E165" s="408"/>
      <c r="F165" s="408"/>
      <c r="I165" s="413"/>
    </row>
    <row r="166" spans="1:9" ht="12.9" x14ac:dyDescent="0.35">
      <c r="A166" s="401"/>
      <c r="B166" s="402"/>
      <c r="E166" s="408"/>
      <c r="F166" s="408"/>
      <c r="I166" s="413"/>
    </row>
    <row r="167" spans="1:9" ht="12.9" x14ac:dyDescent="0.35">
      <c r="A167" s="401"/>
      <c r="B167" s="402"/>
      <c r="E167" s="408"/>
      <c r="F167" s="408"/>
      <c r="I167" s="413"/>
    </row>
    <row r="168" spans="1:9" ht="12.9" x14ac:dyDescent="0.35">
      <c r="A168" s="401"/>
      <c r="B168" s="402"/>
      <c r="E168" s="408"/>
      <c r="F168" s="408"/>
      <c r="I168" s="413"/>
    </row>
    <row r="169" spans="1:9" ht="12.9" x14ac:dyDescent="0.35">
      <c r="A169" s="401"/>
      <c r="B169" s="402"/>
      <c r="E169" s="408"/>
      <c r="F169" s="408"/>
      <c r="I169" s="413"/>
    </row>
    <row r="170" spans="1:9" ht="12.9" x14ac:dyDescent="0.35">
      <c r="A170" s="401"/>
      <c r="B170" s="402"/>
      <c r="E170" s="408"/>
      <c r="F170" s="408"/>
      <c r="I170" s="413"/>
    </row>
    <row r="171" spans="1:9" ht="12.9" x14ac:dyDescent="0.35">
      <c r="A171" s="401"/>
      <c r="B171" s="402"/>
      <c r="E171" s="408"/>
      <c r="F171" s="408"/>
      <c r="I171" s="413"/>
    </row>
    <row r="172" spans="1:9" ht="12.9" x14ac:dyDescent="0.35">
      <c r="A172" s="401"/>
      <c r="B172" s="402"/>
      <c r="E172" s="408"/>
      <c r="F172" s="408"/>
      <c r="I172" s="413"/>
    </row>
    <row r="173" spans="1:9" ht="12.9" x14ac:dyDescent="0.35">
      <c r="A173" s="401"/>
      <c r="B173" s="402"/>
      <c r="E173" s="408"/>
      <c r="F173" s="408"/>
      <c r="I173" s="413"/>
    </row>
    <row r="174" spans="1:9" ht="12.9" x14ac:dyDescent="0.35">
      <c r="A174" s="401"/>
      <c r="B174" s="402"/>
      <c r="E174" s="408"/>
      <c r="F174" s="408"/>
      <c r="I174" s="413"/>
    </row>
    <row r="175" spans="1:9" ht="12.9" x14ac:dyDescent="0.35">
      <c r="A175" s="401"/>
      <c r="B175" s="402"/>
      <c r="E175" s="408"/>
      <c r="F175" s="408"/>
      <c r="I175" s="413"/>
    </row>
    <row r="176" spans="1:9" ht="12.9" x14ac:dyDescent="0.35">
      <c r="A176" s="401"/>
      <c r="B176" s="402"/>
      <c r="E176" s="408"/>
      <c r="F176" s="408"/>
      <c r="I176" s="413"/>
    </row>
    <row r="177" spans="1:9" ht="12.9" x14ac:dyDescent="0.35">
      <c r="A177" s="401"/>
      <c r="B177" s="402"/>
      <c r="E177" s="408"/>
      <c r="F177" s="408"/>
      <c r="I177" s="413"/>
    </row>
    <row r="178" spans="1:9" ht="12.9" x14ac:dyDescent="0.35">
      <c r="A178" s="401"/>
      <c r="B178" s="402"/>
      <c r="E178" s="408"/>
      <c r="F178" s="408"/>
      <c r="I178" s="413"/>
    </row>
    <row r="179" spans="1:9" ht="12.9" x14ac:dyDescent="0.35">
      <c r="A179" s="401"/>
      <c r="B179" s="402"/>
      <c r="E179" s="408"/>
      <c r="F179" s="408"/>
      <c r="I179" s="413"/>
    </row>
    <row r="180" spans="1:9" ht="12.9" x14ac:dyDescent="0.35">
      <c r="A180" s="401"/>
      <c r="B180" s="402"/>
      <c r="E180" s="408"/>
      <c r="F180" s="408"/>
      <c r="I180" s="413"/>
    </row>
    <row r="181" spans="1:9" ht="12.9" x14ac:dyDescent="0.35">
      <c r="A181" s="401"/>
      <c r="B181" s="402"/>
      <c r="E181" s="408"/>
      <c r="F181" s="408"/>
      <c r="I181" s="413"/>
    </row>
    <row r="182" spans="1:9" ht="12.9" x14ac:dyDescent="0.35">
      <c r="A182" s="401"/>
      <c r="B182" s="402"/>
      <c r="E182" s="408"/>
      <c r="F182" s="408"/>
      <c r="I182" s="413"/>
    </row>
    <row r="183" spans="1:9" ht="12.9" x14ac:dyDescent="0.35">
      <c r="A183" s="401"/>
      <c r="B183" s="402"/>
      <c r="E183" s="408"/>
      <c r="F183" s="408"/>
      <c r="I183" s="413"/>
    </row>
    <row r="184" spans="1:9" ht="12.9" x14ac:dyDescent="0.35">
      <c r="A184" s="401"/>
      <c r="B184" s="402"/>
      <c r="E184" s="408"/>
      <c r="F184" s="408"/>
      <c r="I184" s="413"/>
    </row>
    <row r="185" spans="1:9" ht="12.9" x14ac:dyDescent="0.35">
      <c r="A185" s="401"/>
      <c r="B185" s="402"/>
      <c r="E185" s="408"/>
      <c r="F185" s="408"/>
      <c r="I185" s="413"/>
    </row>
    <row r="186" spans="1:9" ht="12.9" x14ac:dyDescent="0.35">
      <c r="A186" s="401"/>
      <c r="B186" s="402"/>
      <c r="E186" s="408"/>
      <c r="F186" s="408"/>
      <c r="I186" s="413"/>
    </row>
    <row r="187" spans="1:9" ht="12.9" x14ac:dyDescent="0.35">
      <c r="A187" s="401"/>
      <c r="B187" s="402"/>
      <c r="E187" s="408"/>
      <c r="F187" s="408"/>
      <c r="I187" s="413"/>
    </row>
    <row r="188" spans="1:9" ht="12.9" x14ac:dyDescent="0.35">
      <c r="A188" s="401"/>
      <c r="B188" s="402"/>
      <c r="E188" s="408"/>
      <c r="F188" s="408"/>
      <c r="I188" s="413"/>
    </row>
    <row r="189" spans="1:9" ht="12.9" x14ac:dyDescent="0.35">
      <c r="A189" s="401"/>
      <c r="B189" s="402"/>
      <c r="E189" s="408"/>
      <c r="F189" s="408"/>
      <c r="I189" s="413"/>
    </row>
    <row r="190" spans="1:9" ht="12.9" x14ac:dyDescent="0.35">
      <c r="A190" s="401"/>
      <c r="B190" s="402"/>
      <c r="E190" s="408"/>
      <c r="F190" s="408"/>
      <c r="I190" s="413"/>
    </row>
    <row r="191" spans="1:9" ht="12.9" x14ac:dyDescent="0.35">
      <c r="A191" s="401"/>
      <c r="B191" s="402"/>
      <c r="E191" s="408"/>
      <c r="F191" s="408"/>
      <c r="I191" s="413"/>
    </row>
    <row r="192" spans="1:9" ht="12.9" x14ac:dyDescent="0.35">
      <c r="A192" s="401"/>
      <c r="B192" s="402"/>
      <c r="E192" s="408"/>
      <c r="F192" s="408"/>
      <c r="I192" s="413"/>
    </row>
    <row r="193" spans="1:9" ht="12.9" x14ac:dyDescent="0.35">
      <c r="A193" s="401"/>
      <c r="B193" s="402"/>
      <c r="E193" s="408"/>
      <c r="F193" s="408"/>
      <c r="I193" s="413"/>
    </row>
    <row r="194" spans="1:9" ht="12.9" x14ac:dyDescent="0.35">
      <c r="A194" s="401"/>
      <c r="B194" s="402"/>
      <c r="E194" s="408"/>
      <c r="F194" s="408"/>
      <c r="I194" s="413"/>
    </row>
    <row r="195" spans="1:9" ht="12.9" x14ac:dyDescent="0.35">
      <c r="A195" s="401"/>
      <c r="B195" s="402"/>
      <c r="E195" s="408"/>
      <c r="F195" s="408"/>
      <c r="I195" s="413"/>
    </row>
    <row r="196" spans="1:9" ht="12.9" x14ac:dyDescent="0.35">
      <c r="A196" s="401"/>
      <c r="B196" s="402"/>
      <c r="E196" s="408"/>
      <c r="F196" s="408"/>
      <c r="I196" s="413"/>
    </row>
    <row r="197" spans="1:9" ht="12.9" x14ac:dyDescent="0.35">
      <c r="A197" s="401"/>
      <c r="B197" s="402"/>
      <c r="E197" s="408"/>
      <c r="F197" s="408"/>
      <c r="I197" s="413"/>
    </row>
    <row r="198" spans="1:9" ht="12.9" x14ac:dyDescent="0.35">
      <c r="A198" s="401"/>
      <c r="B198" s="402"/>
      <c r="E198" s="408"/>
      <c r="F198" s="408"/>
      <c r="I198" s="413"/>
    </row>
    <row r="199" spans="1:9" ht="12.9" x14ac:dyDescent="0.35">
      <c r="A199" s="401"/>
      <c r="B199" s="402"/>
      <c r="E199" s="408"/>
      <c r="F199" s="408"/>
      <c r="I199" s="413"/>
    </row>
    <row r="200" spans="1:9" ht="12.9" x14ac:dyDescent="0.35">
      <c r="A200" s="401"/>
      <c r="B200" s="402"/>
      <c r="E200" s="408"/>
      <c r="F200" s="408"/>
      <c r="I200" s="413"/>
    </row>
    <row r="201" spans="1:9" ht="12.9" x14ac:dyDescent="0.35">
      <c r="A201" s="401"/>
      <c r="B201" s="402"/>
      <c r="E201" s="408"/>
      <c r="F201" s="408"/>
      <c r="I201" s="413"/>
    </row>
    <row r="202" spans="1:9" ht="12.9" x14ac:dyDescent="0.35">
      <c r="A202" s="401"/>
      <c r="B202" s="402"/>
      <c r="E202" s="408"/>
      <c r="F202" s="408"/>
      <c r="I202" s="413"/>
    </row>
    <row r="203" spans="1:9" ht="12.9" x14ac:dyDescent="0.35">
      <c r="A203" s="401"/>
      <c r="B203" s="402"/>
      <c r="E203" s="408"/>
      <c r="F203" s="408"/>
      <c r="I203" s="413"/>
    </row>
    <row r="204" spans="1:9" ht="12.9" x14ac:dyDescent="0.35">
      <c r="A204" s="401"/>
      <c r="B204" s="402"/>
      <c r="E204" s="408"/>
      <c r="F204" s="408"/>
      <c r="I204" s="413"/>
    </row>
    <row r="205" spans="1:9" ht="12.9" x14ac:dyDescent="0.35">
      <c r="A205" s="401"/>
      <c r="B205" s="402"/>
      <c r="E205" s="408"/>
      <c r="F205" s="408"/>
      <c r="I205" s="413"/>
    </row>
    <row r="206" spans="1:9" ht="12.9" x14ac:dyDescent="0.35">
      <c r="A206" s="401"/>
      <c r="B206" s="402"/>
      <c r="E206" s="408"/>
      <c r="F206" s="408"/>
      <c r="I206" s="413"/>
    </row>
    <row r="207" spans="1:9" ht="12.9" x14ac:dyDescent="0.35">
      <c r="A207" s="401"/>
      <c r="B207" s="402"/>
      <c r="E207" s="408"/>
      <c r="F207" s="408"/>
      <c r="I207" s="413"/>
    </row>
    <row r="208" spans="1:9" ht="12.9" x14ac:dyDescent="0.35">
      <c r="A208" s="401"/>
      <c r="B208" s="402"/>
      <c r="E208" s="408"/>
      <c r="F208" s="408"/>
      <c r="I208" s="413"/>
    </row>
    <row r="209" spans="1:9" ht="12.9" x14ac:dyDescent="0.35">
      <c r="A209" s="401"/>
      <c r="B209" s="402"/>
      <c r="E209" s="408"/>
      <c r="F209" s="408"/>
      <c r="I209" s="413"/>
    </row>
    <row r="210" spans="1:9" ht="12.9" x14ac:dyDescent="0.35">
      <c r="A210" s="401"/>
      <c r="B210" s="402"/>
      <c r="E210" s="408"/>
      <c r="F210" s="408"/>
      <c r="I210" s="413"/>
    </row>
    <row r="211" spans="1:9" ht="12.9" x14ac:dyDescent="0.35">
      <c r="A211" s="401"/>
      <c r="B211" s="402"/>
      <c r="E211" s="408"/>
      <c r="F211" s="408"/>
      <c r="I211" s="413"/>
    </row>
    <row r="212" spans="1:9" ht="12.9" x14ac:dyDescent="0.35">
      <c r="A212" s="401"/>
      <c r="B212" s="402"/>
      <c r="E212" s="408"/>
      <c r="F212" s="408"/>
      <c r="I212" s="413"/>
    </row>
    <row r="213" spans="1:9" ht="12.9" x14ac:dyDescent="0.35">
      <c r="A213" s="401"/>
      <c r="B213" s="402"/>
      <c r="E213" s="408"/>
      <c r="F213" s="408"/>
      <c r="I213" s="413"/>
    </row>
    <row r="214" spans="1:9" ht="12.9" x14ac:dyDescent="0.35">
      <c r="A214" s="401"/>
      <c r="B214" s="402"/>
      <c r="E214" s="408"/>
      <c r="F214" s="408"/>
      <c r="I214" s="413"/>
    </row>
    <row r="215" spans="1:9" ht="12.9" x14ac:dyDescent="0.35">
      <c r="A215" s="401"/>
      <c r="B215" s="402"/>
      <c r="E215" s="408"/>
      <c r="F215" s="408"/>
      <c r="I215" s="413"/>
    </row>
    <row r="216" spans="1:9" ht="12.9" x14ac:dyDescent="0.35">
      <c r="A216" s="401"/>
      <c r="B216" s="402"/>
      <c r="E216" s="408"/>
      <c r="F216" s="408"/>
      <c r="I216" s="413"/>
    </row>
    <row r="217" spans="1:9" ht="12.9" x14ac:dyDescent="0.35">
      <c r="A217" s="401"/>
      <c r="B217" s="402"/>
      <c r="E217" s="408"/>
      <c r="F217" s="408"/>
      <c r="I217" s="413"/>
    </row>
    <row r="218" spans="1:9" ht="12.9" x14ac:dyDescent="0.35">
      <c r="A218" s="401"/>
      <c r="B218" s="402"/>
      <c r="E218" s="408"/>
      <c r="F218" s="408"/>
      <c r="I218" s="413"/>
    </row>
    <row r="219" spans="1:9" ht="12.9" x14ac:dyDescent="0.35">
      <c r="A219" s="401"/>
      <c r="B219" s="402"/>
      <c r="E219" s="408"/>
      <c r="F219" s="408"/>
      <c r="I219" s="413"/>
    </row>
    <row r="220" spans="1:9" ht="12.9" x14ac:dyDescent="0.35">
      <c r="A220" s="401"/>
      <c r="B220" s="402"/>
      <c r="E220" s="408"/>
      <c r="F220" s="408"/>
      <c r="I220" s="413"/>
    </row>
    <row r="221" spans="1:9" ht="12.9" x14ac:dyDescent="0.35">
      <c r="A221" s="401"/>
      <c r="B221" s="402"/>
      <c r="E221" s="408"/>
      <c r="F221" s="408"/>
      <c r="I221" s="413"/>
    </row>
    <row r="222" spans="1:9" ht="12.9" x14ac:dyDescent="0.35">
      <c r="A222" s="401"/>
      <c r="B222" s="402"/>
      <c r="E222" s="408"/>
      <c r="F222" s="408"/>
      <c r="I222" s="413"/>
    </row>
    <row r="223" spans="1:9" ht="12.9" x14ac:dyDescent="0.35">
      <c r="A223" s="401"/>
      <c r="B223" s="402"/>
      <c r="E223" s="408"/>
      <c r="F223" s="408"/>
      <c r="I223" s="413"/>
    </row>
    <row r="224" spans="1:9" ht="12.9" x14ac:dyDescent="0.35">
      <c r="A224" s="401"/>
      <c r="B224" s="402"/>
      <c r="E224" s="408"/>
      <c r="F224" s="408"/>
      <c r="I224" s="413"/>
    </row>
    <row r="225" spans="1:9" ht="12.9" x14ac:dyDescent="0.35">
      <c r="A225" s="401"/>
      <c r="B225" s="402"/>
      <c r="E225" s="408"/>
      <c r="F225" s="408"/>
      <c r="I225" s="413"/>
    </row>
    <row r="226" spans="1:9" ht="12.9" x14ac:dyDescent="0.35">
      <c r="A226" s="401"/>
      <c r="B226" s="402"/>
      <c r="E226" s="408"/>
      <c r="F226" s="408"/>
      <c r="I226" s="413"/>
    </row>
    <row r="227" spans="1:9" ht="12.9" x14ac:dyDescent="0.35">
      <c r="A227" s="401"/>
      <c r="B227" s="402"/>
      <c r="E227" s="408"/>
      <c r="F227" s="408"/>
      <c r="I227" s="413"/>
    </row>
    <row r="228" spans="1:9" ht="12.9" x14ac:dyDescent="0.35">
      <c r="A228" s="401"/>
      <c r="B228" s="402"/>
      <c r="E228" s="408"/>
      <c r="F228" s="408"/>
      <c r="I228" s="413"/>
    </row>
    <row r="229" spans="1:9" ht="12.9" x14ac:dyDescent="0.35">
      <c r="A229" s="401"/>
      <c r="B229" s="402"/>
      <c r="E229" s="408"/>
      <c r="F229" s="408"/>
      <c r="I229" s="413"/>
    </row>
    <row r="230" spans="1:9" ht="12.9" x14ac:dyDescent="0.35">
      <c r="A230" s="401"/>
      <c r="B230" s="402"/>
      <c r="E230" s="408"/>
      <c r="F230" s="408"/>
      <c r="I230" s="413"/>
    </row>
    <row r="231" spans="1:9" ht="12.9" x14ac:dyDescent="0.35">
      <c r="A231" s="401"/>
      <c r="B231" s="402"/>
      <c r="E231" s="408"/>
      <c r="F231" s="408"/>
      <c r="I231" s="413"/>
    </row>
    <row r="232" spans="1:9" ht="12.9" x14ac:dyDescent="0.35">
      <c r="A232" s="401"/>
      <c r="B232" s="402"/>
      <c r="E232" s="408"/>
      <c r="F232" s="408"/>
      <c r="I232" s="413"/>
    </row>
    <row r="233" spans="1:9" ht="12.9" x14ac:dyDescent="0.35">
      <c r="A233" s="401"/>
      <c r="B233" s="402"/>
      <c r="E233" s="408"/>
      <c r="F233" s="408"/>
      <c r="I233" s="413"/>
    </row>
    <row r="234" spans="1:9" ht="12.9" x14ac:dyDescent="0.35">
      <c r="A234" s="401"/>
      <c r="B234" s="402"/>
      <c r="E234" s="408"/>
      <c r="F234" s="408"/>
      <c r="I234" s="413"/>
    </row>
    <row r="235" spans="1:9" ht="12.9" x14ac:dyDescent="0.35">
      <c r="A235" s="401"/>
      <c r="B235" s="402"/>
      <c r="E235" s="408"/>
      <c r="F235" s="408"/>
      <c r="I235" s="413"/>
    </row>
    <row r="236" spans="1:9" ht="12.9" x14ac:dyDescent="0.35">
      <c r="A236" s="401"/>
      <c r="B236" s="402"/>
      <c r="E236" s="408"/>
      <c r="F236" s="408"/>
      <c r="I236" s="413"/>
    </row>
    <row r="237" spans="1:9" ht="12.9" x14ac:dyDescent="0.35">
      <c r="A237" s="401"/>
      <c r="B237" s="402"/>
      <c r="E237" s="408"/>
      <c r="F237" s="408"/>
      <c r="I237" s="413"/>
    </row>
    <row r="238" spans="1:9" ht="12.9" x14ac:dyDescent="0.35">
      <c r="A238" s="401"/>
      <c r="B238" s="402"/>
      <c r="E238" s="408"/>
      <c r="F238" s="408"/>
      <c r="I238" s="413"/>
    </row>
    <row r="239" spans="1:9" ht="12.9" x14ac:dyDescent="0.35">
      <c r="A239" s="401"/>
      <c r="B239" s="402"/>
      <c r="E239" s="408"/>
      <c r="F239" s="408"/>
      <c r="I239" s="413"/>
    </row>
    <row r="240" spans="1:9" ht="12.9" x14ac:dyDescent="0.35">
      <c r="A240" s="401"/>
      <c r="B240" s="402"/>
      <c r="E240" s="408"/>
      <c r="F240" s="408"/>
      <c r="I240" s="413"/>
    </row>
    <row r="241" spans="1:9" ht="12.9" x14ac:dyDescent="0.35">
      <c r="A241" s="401"/>
      <c r="B241" s="402"/>
      <c r="E241" s="408"/>
      <c r="F241" s="408"/>
      <c r="I241" s="413"/>
    </row>
    <row r="242" spans="1:9" ht="12.9" x14ac:dyDescent="0.35">
      <c r="A242" s="401"/>
      <c r="B242" s="402"/>
      <c r="E242" s="408"/>
      <c r="F242" s="408"/>
      <c r="I242" s="413"/>
    </row>
    <row r="243" spans="1:9" ht="12.9" x14ac:dyDescent="0.35">
      <c r="A243" s="401"/>
      <c r="B243" s="402"/>
      <c r="E243" s="408"/>
      <c r="F243" s="408"/>
      <c r="I243" s="413"/>
    </row>
    <row r="244" spans="1:9" ht="12.9" x14ac:dyDescent="0.35">
      <c r="A244" s="401"/>
      <c r="B244" s="402"/>
      <c r="E244" s="408"/>
      <c r="F244" s="408"/>
      <c r="I244" s="413"/>
    </row>
    <row r="245" spans="1:9" ht="12.9" x14ac:dyDescent="0.35">
      <c r="A245" s="401"/>
      <c r="B245" s="402"/>
      <c r="E245" s="408"/>
      <c r="F245" s="408"/>
      <c r="I245" s="413"/>
    </row>
    <row r="246" spans="1:9" ht="12.9" x14ac:dyDescent="0.35">
      <c r="A246" s="401"/>
      <c r="B246" s="402"/>
      <c r="E246" s="408"/>
      <c r="F246" s="408"/>
      <c r="I246" s="413"/>
    </row>
    <row r="247" spans="1:9" ht="12.9" x14ac:dyDescent="0.35">
      <c r="A247" s="401"/>
      <c r="B247" s="402"/>
      <c r="E247" s="408"/>
      <c r="F247" s="408"/>
      <c r="I247" s="413"/>
    </row>
    <row r="248" spans="1:9" ht="12.9" x14ac:dyDescent="0.35">
      <c r="A248" s="401"/>
      <c r="B248" s="402"/>
      <c r="E248" s="408"/>
      <c r="F248" s="408"/>
      <c r="I248" s="413"/>
    </row>
    <row r="249" spans="1:9" ht="12.9" x14ac:dyDescent="0.35">
      <c r="A249" s="401"/>
      <c r="B249" s="402"/>
      <c r="E249" s="408"/>
      <c r="F249" s="408"/>
      <c r="I249" s="413"/>
    </row>
    <row r="250" spans="1:9" ht="12.9" x14ac:dyDescent="0.35">
      <c r="A250" s="401"/>
      <c r="B250" s="402"/>
      <c r="E250" s="408"/>
      <c r="F250" s="408"/>
      <c r="I250" s="413"/>
    </row>
    <row r="251" spans="1:9" ht="12.9" x14ac:dyDescent="0.35">
      <c r="A251" s="401"/>
      <c r="B251" s="402"/>
      <c r="E251" s="408"/>
      <c r="F251" s="408"/>
      <c r="I251" s="413"/>
    </row>
    <row r="252" spans="1:9" ht="12.9" x14ac:dyDescent="0.35">
      <c r="A252" s="401"/>
      <c r="B252" s="402"/>
      <c r="E252" s="408"/>
      <c r="F252" s="408"/>
      <c r="I252" s="413"/>
    </row>
    <row r="253" spans="1:9" ht="12.9" x14ac:dyDescent="0.35">
      <c r="A253" s="401"/>
      <c r="B253" s="402"/>
      <c r="E253" s="408"/>
      <c r="F253" s="408"/>
      <c r="I253" s="413"/>
    </row>
    <row r="254" spans="1:9" ht="12.9" x14ac:dyDescent="0.35">
      <c r="A254" s="401"/>
      <c r="B254" s="402"/>
      <c r="E254" s="408"/>
      <c r="F254" s="408"/>
      <c r="I254" s="413"/>
    </row>
    <row r="255" spans="1:9" ht="12.9" x14ac:dyDescent="0.35">
      <c r="A255" s="401"/>
      <c r="B255" s="402"/>
      <c r="E255" s="408"/>
      <c r="F255" s="408"/>
      <c r="I255" s="413"/>
    </row>
    <row r="256" spans="1:9" ht="12.9" x14ac:dyDescent="0.35">
      <c r="A256" s="401"/>
      <c r="B256" s="402"/>
      <c r="E256" s="408"/>
      <c r="F256" s="408"/>
      <c r="I256" s="413"/>
    </row>
    <row r="257" spans="1:9" ht="12.9" x14ac:dyDescent="0.35">
      <c r="A257" s="401"/>
      <c r="B257" s="402"/>
      <c r="E257" s="408"/>
      <c r="F257" s="408"/>
      <c r="I257" s="413"/>
    </row>
    <row r="258" spans="1:9" ht="12.9" x14ac:dyDescent="0.35">
      <c r="A258" s="401"/>
      <c r="B258" s="402"/>
      <c r="E258" s="408"/>
      <c r="F258" s="408"/>
      <c r="I258" s="413"/>
    </row>
    <row r="259" spans="1:9" ht="12.9" x14ac:dyDescent="0.35">
      <c r="A259" s="401"/>
      <c r="B259" s="402"/>
      <c r="E259" s="408"/>
      <c r="F259" s="408"/>
      <c r="I259" s="413"/>
    </row>
    <row r="260" spans="1:9" ht="12.9" x14ac:dyDescent="0.35">
      <c r="A260" s="401"/>
      <c r="B260" s="402"/>
      <c r="E260" s="408"/>
      <c r="F260" s="408"/>
      <c r="I260" s="413"/>
    </row>
    <row r="261" spans="1:9" ht="12.9" x14ac:dyDescent="0.35">
      <c r="A261" s="401"/>
      <c r="B261" s="402"/>
      <c r="E261" s="408"/>
      <c r="F261" s="408"/>
      <c r="I261" s="413"/>
    </row>
    <row r="262" spans="1:9" ht="12.9" x14ac:dyDescent="0.35">
      <c r="A262" s="401"/>
      <c r="B262" s="402"/>
      <c r="E262" s="408"/>
      <c r="F262" s="408"/>
      <c r="I262" s="413"/>
    </row>
    <row r="263" spans="1:9" ht="12.9" x14ac:dyDescent="0.35">
      <c r="A263" s="401"/>
      <c r="B263" s="402"/>
      <c r="E263" s="408"/>
      <c r="F263" s="408"/>
      <c r="I263" s="413"/>
    </row>
    <row r="264" spans="1:9" ht="12.9" x14ac:dyDescent="0.35">
      <c r="A264" s="401"/>
      <c r="B264" s="402"/>
      <c r="E264" s="408"/>
      <c r="F264" s="408"/>
      <c r="I264" s="413"/>
    </row>
    <row r="265" spans="1:9" ht="12.9" x14ac:dyDescent="0.35">
      <c r="A265" s="401"/>
      <c r="B265" s="402"/>
      <c r="E265" s="408"/>
      <c r="F265" s="408"/>
      <c r="I265" s="413"/>
    </row>
    <row r="266" spans="1:9" ht="12.9" x14ac:dyDescent="0.35">
      <c r="A266" s="401"/>
      <c r="B266" s="402"/>
      <c r="E266" s="408"/>
      <c r="F266" s="408"/>
      <c r="I266" s="413"/>
    </row>
    <row r="267" spans="1:9" ht="12.9" x14ac:dyDescent="0.35">
      <c r="A267" s="401"/>
      <c r="B267" s="402"/>
      <c r="E267" s="408"/>
      <c r="F267" s="408"/>
      <c r="I267" s="413"/>
    </row>
    <row r="268" spans="1:9" ht="12.9" x14ac:dyDescent="0.35">
      <c r="A268" s="401"/>
      <c r="B268" s="402"/>
      <c r="E268" s="408"/>
      <c r="F268" s="408"/>
      <c r="I268" s="413"/>
    </row>
    <row r="269" spans="1:9" ht="12.9" x14ac:dyDescent="0.35">
      <c r="A269" s="401"/>
      <c r="B269" s="402"/>
      <c r="E269" s="408"/>
      <c r="F269" s="408"/>
      <c r="I269" s="413"/>
    </row>
    <row r="270" spans="1:9" ht="12.9" x14ac:dyDescent="0.35">
      <c r="A270" s="401"/>
      <c r="B270" s="402"/>
      <c r="E270" s="408"/>
      <c r="F270" s="408"/>
      <c r="I270" s="413"/>
    </row>
    <row r="271" spans="1:9" ht="12.9" x14ac:dyDescent="0.35">
      <c r="A271" s="401"/>
      <c r="B271" s="402"/>
      <c r="E271" s="408"/>
      <c r="F271" s="408"/>
      <c r="I271" s="413"/>
    </row>
    <row r="272" spans="1:9" ht="12.9" x14ac:dyDescent="0.35">
      <c r="A272" s="401"/>
      <c r="B272" s="402"/>
      <c r="E272" s="408"/>
      <c r="F272" s="408"/>
      <c r="I272" s="413"/>
    </row>
    <row r="273" spans="1:9" ht="12.9" x14ac:dyDescent="0.35">
      <c r="A273" s="401"/>
      <c r="B273" s="402"/>
      <c r="E273" s="408"/>
      <c r="F273" s="408"/>
      <c r="I273" s="413"/>
    </row>
    <row r="274" spans="1:9" ht="12.9" x14ac:dyDescent="0.35">
      <c r="A274" s="401"/>
      <c r="B274" s="402"/>
      <c r="E274" s="408"/>
      <c r="F274" s="408"/>
      <c r="I274" s="413"/>
    </row>
    <row r="275" spans="1:9" ht="12.9" x14ac:dyDescent="0.35">
      <c r="A275" s="401"/>
      <c r="B275" s="402"/>
      <c r="E275" s="408"/>
      <c r="F275" s="408"/>
      <c r="I275" s="413"/>
    </row>
    <row r="276" spans="1:9" ht="12.9" x14ac:dyDescent="0.35">
      <c r="A276" s="401"/>
      <c r="B276" s="402"/>
      <c r="E276" s="408"/>
      <c r="F276" s="408"/>
      <c r="I276" s="413"/>
    </row>
    <row r="277" spans="1:9" ht="12.9" x14ac:dyDescent="0.35">
      <c r="A277" s="401"/>
      <c r="B277" s="402"/>
      <c r="E277" s="408"/>
      <c r="F277" s="408"/>
      <c r="I277" s="413"/>
    </row>
    <row r="278" spans="1:9" ht="12.9" x14ac:dyDescent="0.35">
      <c r="A278" s="401"/>
      <c r="B278" s="402"/>
      <c r="E278" s="408"/>
      <c r="F278" s="408"/>
      <c r="I278" s="413"/>
    </row>
    <row r="279" spans="1:9" ht="12.9" x14ac:dyDescent="0.35">
      <c r="A279" s="401"/>
      <c r="B279" s="402"/>
      <c r="E279" s="408"/>
      <c r="F279" s="408"/>
      <c r="I279" s="413"/>
    </row>
    <row r="280" spans="1:9" ht="12.9" x14ac:dyDescent="0.35">
      <c r="A280" s="401"/>
      <c r="B280" s="402"/>
      <c r="E280" s="408"/>
      <c r="F280" s="408"/>
      <c r="I280" s="413"/>
    </row>
    <row r="281" spans="1:9" ht="12.9" x14ac:dyDescent="0.35">
      <c r="A281" s="401"/>
      <c r="B281" s="402"/>
      <c r="E281" s="408"/>
      <c r="F281" s="408"/>
      <c r="I281" s="413"/>
    </row>
    <row r="282" spans="1:9" ht="12.9" x14ac:dyDescent="0.35">
      <c r="A282" s="401"/>
      <c r="B282" s="402"/>
      <c r="E282" s="408"/>
      <c r="F282" s="408"/>
      <c r="I282" s="413"/>
    </row>
    <row r="283" spans="1:9" ht="12.9" x14ac:dyDescent="0.35">
      <c r="A283" s="401"/>
      <c r="B283" s="402"/>
      <c r="E283" s="408"/>
      <c r="F283" s="408"/>
      <c r="I283" s="413"/>
    </row>
    <row r="284" spans="1:9" ht="12.9" x14ac:dyDescent="0.35">
      <c r="A284" s="401"/>
      <c r="B284" s="402"/>
      <c r="E284" s="408"/>
      <c r="F284" s="408"/>
      <c r="I284" s="413"/>
    </row>
    <row r="285" spans="1:9" ht="12.9" x14ac:dyDescent="0.35">
      <c r="A285" s="401"/>
      <c r="B285" s="402"/>
      <c r="E285" s="408"/>
      <c r="F285" s="408"/>
      <c r="I285" s="413"/>
    </row>
    <row r="286" spans="1:9" ht="12.9" x14ac:dyDescent="0.35">
      <c r="A286" s="401"/>
      <c r="B286" s="402"/>
      <c r="E286" s="408"/>
      <c r="F286" s="408"/>
      <c r="I286" s="413"/>
    </row>
    <row r="287" spans="1:9" ht="12.9" x14ac:dyDescent="0.35">
      <c r="A287" s="401"/>
      <c r="B287" s="402"/>
      <c r="E287" s="408"/>
      <c r="F287" s="408"/>
      <c r="I287" s="413"/>
    </row>
    <row r="288" spans="1:9" ht="12.9" x14ac:dyDescent="0.35">
      <c r="A288" s="401"/>
      <c r="B288" s="402"/>
      <c r="E288" s="408"/>
      <c r="F288" s="408"/>
      <c r="I288" s="413"/>
    </row>
    <row r="289" spans="1:9" ht="12.9" x14ac:dyDescent="0.35">
      <c r="A289" s="401"/>
      <c r="B289" s="402"/>
      <c r="E289" s="408"/>
      <c r="F289" s="408"/>
      <c r="I289" s="413"/>
    </row>
    <row r="290" spans="1:9" ht="12.9" x14ac:dyDescent="0.35">
      <c r="A290" s="401"/>
      <c r="B290" s="402"/>
      <c r="E290" s="408"/>
      <c r="F290" s="408"/>
      <c r="I290" s="413"/>
    </row>
    <row r="291" spans="1:9" ht="12.9" x14ac:dyDescent="0.35">
      <c r="A291" s="401"/>
      <c r="B291" s="402"/>
      <c r="E291" s="408"/>
      <c r="F291" s="408"/>
      <c r="I291" s="413"/>
    </row>
    <row r="292" spans="1:9" ht="12.9" x14ac:dyDescent="0.35">
      <c r="A292" s="401"/>
      <c r="B292" s="402"/>
      <c r="E292" s="408"/>
      <c r="F292" s="408"/>
      <c r="I292" s="413"/>
    </row>
    <row r="293" spans="1:9" ht="12.9" x14ac:dyDescent="0.35">
      <c r="A293" s="401"/>
      <c r="B293" s="402"/>
      <c r="E293" s="408"/>
      <c r="F293" s="408"/>
      <c r="I293" s="413"/>
    </row>
    <row r="294" spans="1:9" ht="12.9" x14ac:dyDescent="0.35">
      <c r="A294" s="401"/>
      <c r="B294" s="402"/>
      <c r="E294" s="408"/>
      <c r="F294" s="408"/>
      <c r="I294" s="413"/>
    </row>
    <row r="295" spans="1:9" ht="12.9" x14ac:dyDescent="0.35">
      <c r="A295" s="401"/>
      <c r="B295" s="402"/>
      <c r="E295" s="408"/>
      <c r="F295" s="408"/>
      <c r="I295" s="413"/>
    </row>
    <row r="296" spans="1:9" ht="12.9" x14ac:dyDescent="0.35">
      <c r="A296" s="401"/>
      <c r="B296" s="402"/>
      <c r="E296" s="408"/>
      <c r="F296" s="408"/>
      <c r="I296" s="413"/>
    </row>
    <row r="297" spans="1:9" ht="12.9" x14ac:dyDescent="0.35">
      <c r="A297" s="401"/>
      <c r="B297" s="402"/>
      <c r="E297" s="408"/>
      <c r="F297" s="408"/>
      <c r="I297" s="413"/>
    </row>
    <row r="298" spans="1:9" ht="12.9" x14ac:dyDescent="0.35">
      <c r="A298" s="401"/>
      <c r="B298" s="402"/>
      <c r="E298" s="408"/>
      <c r="F298" s="408"/>
      <c r="I298" s="413"/>
    </row>
    <row r="299" spans="1:9" ht="12.9" x14ac:dyDescent="0.35">
      <c r="A299" s="401"/>
      <c r="B299" s="402"/>
      <c r="E299" s="408"/>
      <c r="F299" s="408"/>
      <c r="I299" s="413"/>
    </row>
    <row r="300" spans="1:9" ht="12.9" x14ac:dyDescent="0.35">
      <c r="A300" s="401"/>
      <c r="B300" s="402"/>
      <c r="E300" s="408"/>
      <c r="F300" s="408"/>
      <c r="I300" s="413"/>
    </row>
    <row r="301" spans="1:9" ht="12.9" x14ac:dyDescent="0.35">
      <c r="A301" s="401"/>
      <c r="B301" s="402"/>
      <c r="E301" s="408"/>
      <c r="F301" s="408"/>
      <c r="I301" s="413"/>
    </row>
    <row r="302" spans="1:9" ht="12.9" x14ac:dyDescent="0.35">
      <c r="A302" s="401"/>
      <c r="B302" s="402"/>
      <c r="E302" s="408"/>
      <c r="F302" s="408"/>
      <c r="I302" s="413"/>
    </row>
    <row r="303" spans="1:9" ht="12.9" x14ac:dyDescent="0.35">
      <c r="A303" s="401"/>
      <c r="B303" s="402"/>
      <c r="E303" s="408"/>
      <c r="F303" s="408"/>
      <c r="I303" s="413"/>
    </row>
    <row r="304" spans="1:9" ht="12.9" x14ac:dyDescent="0.35">
      <c r="A304" s="401"/>
      <c r="B304" s="402"/>
      <c r="E304" s="408"/>
      <c r="F304" s="408"/>
      <c r="I304" s="413"/>
    </row>
    <row r="305" spans="1:9" ht="12.9" x14ac:dyDescent="0.35">
      <c r="A305" s="401"/>
      <c r="B305" s="402"/>
      <c r="E305" s="408"/>
      <c r="F305" s="408"/>
      <c r="I305" s="413"/>
    </row>
    <row r="306" spans="1:9" ht="12.9" x14ac:dyDescent="0.35">
      <c r="A306" s="401"/>
      <c r="B306" s="402"/>
      <c r="E306" s="408"/>
      <c r="F306" s="408"/>
      <c r="I306" s="413"/>
    </row>
    <row r="307" spans="1:9" ht="12.9" x14ac:dyDescent="0.35">
      <c r="A307" s="401"/>
      <c r="B307" s="402"/>
    </row>
    <row r="308" spans="1:9" ht="12.9" x14ac:dyDescent="0.35">
      <c r="A308" s="401"/>
      <c r="B308" s="402"/>
    </row>
    <row r="309" spans="1:9" ht="12.9" x14ac:dyDescent="0.35">
      <c r="A309" s="401"/>
      <c r="B309" s="402"/>
    </row>
    <row r="310" spans="1:9" ht="12.9" x14ac:dyDescent="0.35">
      <c r="A310" s="401"/>
      <c r="B310" s="402"/>
    </row>
    <row r="311" spans="1:9" ht="12.9" x14ac:dyDescent="0.35">
      <c r="A311" s="401"/>
      <c r="B311" s="402"/>
    </row>
    <row r="312" spans="1:9" ht="12.9" x14ac:dyDescent="0.35">
      <c r="A312" s="401"/>
      <c r="B312" s="402"/>
    </row>
    <row r="313" spans="1:9" ht="12.9" x14ac:dyDescent="0.35">
      <c r="A313" s="401"/>
      <c r="B313" s="402"/>
    </row>
    <row r="314" spans="1:9" ht="12.9" x14ac:dyDescent="0.35">
      <c r="A314" s="401"/>
      <c r="B314" s="402"/>
    </row>
    <row r="315" spans="1:9" ht="12.9" x14ac:dyDescent="0.35">
      <c r="A315" s="401"/>
      <c r="B315" s="402"/>
    </row>
    <row r="316" spans="1:9" ht="12.9" x14ac:dyDescent="0.35">
      <c r="A316" s="401"/>
      <c r="B316" s="402"/>
    </row>
    <row r="317" spans="1:9" ht="12.9" x14ac:dyDescent="0.35">
      <c r="A317" s="401"/>
      <c r="B317" s="402"/>
    </row>
    <row r="318" spans="1:9" ht="12.9" x14ac:dyDescent="0.35">
      <c r="A318" s="401"/>
      <c r="B318" s="402"/>
    </row>
    <row r="319" spans="1:9" ht="12.9" x14ac:dyDescent="0.35">
      <c r="A319" s="401"/>
      <c r="B319" s="402"/>
    </row>
    <row r="320" spans="1:9" ht="12.9" x14ac:dyDescent="0.35">
      <c r="A320" s="401"/>
      <c r="B320" s="402"/>
    </row>
    <row r="321" spans="1:2" ht="12.9" x14ac:dyDescent="0.35">
      <c r="A321" s="401"/>
      <c r="B321" s="402"/>
    </row>
    <row r="322" spans="1:2" ht="12.9" x14ac:dyDescent="0.35">
      <c r="A322" s="401"/>
      <c r="B322" s="402"/>
    </row>
    <row r="323" spans="1:2" ht="12.9" x14ac:dyDescent="0.35">
      <c r="A323" s="401"/>
      <c r="B323" s="402"/>
    </row>
    <row r="324" spans="1:2" ht="12.9" x14ac:dyDescent="0.35">
      <c r="A324" s="401"/>
      <c r="B324" s="402"/>
    </row>
    <row r="325" spans="1:2" ht="12.9" x14ac:dyDescent="0.35">
      <c r="A325" s="401"/>
      <c r="B325" s="402"/>
    </row>
    <row r="326" spans="1:2" ht="12.9" x14ac:dyDescent="0.35">
      <c r="A326" s="401"/>
      <c r="B326" s="402"/>
    </row>
    <row r="327" spans="1:2" ht="12.9" x14ac:dyDescent="0.35">
      <c r="A327" s="401"/>
      <c r="B327" s="402"/>
    </row>
    <row r="328" spans="1:2" ht="12.9" x14ac:dyDescent="0.35">
      <c r="A328" s="401"/>
      <c r="B328" s="402"/>
    </row>
    <row r="329" spans="1:2" ht="12.9" x14ac:dyDescent="0.35">
      <c r="A329" s="401"/>
      <c r="B329" s="402"/>
    </row>
    <row r="330" spans="1:2" ht="12.9" x14ac:dyDescent="0.35">
      <c r="A330" s="401"/>
      <c r="B330" s="402"/>
    </row>
    <row r="331" spans="1:2" ht="12.9" x14ac:dyDescent="0.35">
      <c r="A331" s="401"/>
      <c r="B331" s="402"/>
    </row>
    <row r="332" spans="1:2" ht="12.9" x14ac:dyDescent="0.35">
      <c r="A332" s="401"/>
      <c r="B332" s="402"/>
    </row>
    <row r="333" spans="1:2" ht="12.9" x14ac:dyDescent="0.35">
      <c r="A333" s="401"/>
      <c r="B333" s="402"/>
    </row>
    <row r="334" spans="1:2" ht="12.9" x14ac:dyDescent="0.35">
      <c r="A334" s="401"/>
      <c r="B334" s="402"/>
    </row>
    <row r="335" spans="1:2" ht="12.9" x14ac:dyDescent="0.35">
      <c r="A335" s="401"/>
      <c r="B335" s="402"/>
    </row>
    <row r="336" spans="1:2" ht="12.9" x14ac:dyDescent="0.35">
      <c r="A336" s="401"/>
      <c r="B336" s="402"/>
    </row>
    <row r="337" spans="1:2" ht="12.9" x14ac:dyDescent="0.35">
      <c r="A337" s="401"/>
      <c r="B337" s="402"/>
    </row>
    <row r="338" spans="1:2" ht="12.9" x14ac:dyDescent="0.35">
      <c r="A338" s="401"/>
      <c r="B338" s="402"/>
    </row>
    <row r="339" spans="1:2" ht="12.9" x14ac:dyDescent="0.35">
      <c r="A339" s="401"/>
      <c r="B339" s="402"/>
    </row>
    <row r="340" spans="1:2" ht="12.9" x14ac:dyDescent="0.35">
      <c r="A340" s="401"/>
      <c r="B340" s="402"/>
    </row>
    <row r="341" spans="1:2" ht="12.9" x14ac:dyDescent="0.35">
      <c r="A341" s="401"/>
      <c r="B341" s="402"/>
    </row>
    <row r="342" spans="1:2" ht="12.9" x14ac:dyDescent="0.35">
      <c r="A342" s="401"/>
      <c r="B342" s="402"/>
    </row>
    <row r="343" spans="1:2" ht="12.9" x14ac:dyDescent="0.35">
      <c r="A343" s="401"/>
      <c r="B343" s="402"/>
    </row>
    <row r="344" spans="1:2" ht="12.9" x14ac:dyDescent="0.35">
      <c r="A344" s="401"/>
      <c r="B344" s="402"/>
    </row>
    <row r="345" spans="1:2" ht="12.9" x14ac:dyDescent="0.35">
      <c r="A345" s="401"/>
      <c r="B345" s="402"/>
    </row>
    <row r="346" spans="1:2" ht="12.9" x14ac:dyDescent="0.35">
      <c r="A346" s="401"/>
      <c r="B346" s="402"/>
    </row>
    <row r="347" spans="1:2" ht="12.9" x14ac:dyDescent="0.35">
      <c r="A347" s="401"/>
      <c r="B347" s="402"/>
    </row>
    <row r="348" spans="1:2" ht="12.9" x14ac:dyDescent="0.35">
      <c r="A348" s="401"/>
      <c r="B348" s="402"/>
    </row>
    <row r="349" spans="1:2" ht="12.9" x14ac:dyDescent="0.35">
      <c r="A349" s="401"/>
      <c r="B349" s="402"/>
    </row>
    <row r="350" spans="1:2" ht="12.9" x14ac:dyDescent="0.35">
      <c r="A350" s="401"/>
      <c r="B350" s="402"/>
    </row>
    <row r="351" spans="1:2" ht="12.9" x14ac:dyDescent="0.35">
      <c r="A351" s="401"/>
      <c r="B351" s="402"/>
    </row>
    <row r="352" spans="1:2" ht="12.9" x14ac:dyDescent="0.35">
      <c r="A352" s="401"/>
      <c r="B352" s="402"/>
    </row>
    <row r="353" spans="1:2" ht="12.9" x14ac:dyDescent="0.35">
      <c r="A353" s="401"/>
      <c r="B353" s="402"/>
    </row>
    <row r="354" spans="1:2" ht="12.9" x14ac:dyDescent="0.35">
      <c r="A354" s="401"/>
      <c r="B354" s="402"/>
    </row>
    <row r="355" spans="1:2" ht="12.9" x14ac:dyDescent="0.35">
      <c r="A355" s="401"/>
      <c r="B355" s="402"/>
    </row>
    <row r="356" spans="1:2" ht="12.9" x14ac:dyDescent="0.35">
      <c r="A356" s="401"/>
      <c r="B356" s="402"/>
    </row>
    <row r="357" spans="1:2" ht="12.9" x14ac:dyDescent="0.35">
      <c r="A357" s="401"/>
      <c r="B357" s="402"/>
    </row>
    <row r="358" spans="1:2" ht="12.9" x14ac:dyDescent="0.35">
      <c r="A358" s="401"/>
      <c r="B358" s="402"/>
    </row>
    <row r="359" spans="1:2" ht="12.9" x14ac:dyDescent="0.35">
      <c r="A359" s="401"/>
      <c r="B359" s="402"/>
    </row>
    <row r="360" spans="1:2" ht="12.9" x14ac:dyDescent="0.35">
      <c r="A360" s="401"/>
      <c r="B360" s="402"/>
    </row>
    <row r="361" spans="1:2" ht="12.9" x14ac:dyDescent="0.35">
      <c r="A361" s="401"/>
      <c r="B361" s="402"/>
    </row>
    <row r="362" spans="1:2" ht="12.9" x14ac:dyDescent="0.35">
      <c r="A362" s="401"/>
      <c r="B362" s="402"/>
    </row>
    <row r="363" spans="1:2" ht="12.9" x14ac:dyDescent="0.35">
      <c r="A363" s="401"/>
      <c r="B363" s="402"/>
    </row>
    <row r="364" spans="1:2" ht="12.9" x14ac:dyDescent="0.35">
      <c r="A364" s="401"/>
      <c r="B364" s="402"/>
    </row>
    <row r="365" spans="1:2" ht="12.9" x14ac:dyDescent="0.35">
      <c r="A365" s="401"/>
      <c r="B365" s="402"/>
    </row>
    <row r="366" spans="1:2" ht="12.9" x14ac:dyDescent="0.35">
      <c r="A366" s="401"/>
      <c r="B366" s="402"/>
    </row>
    <row r="367" spans="1:2" ht="12.9" x14ac:dyDescent="0.35">
      <c r="A367" s="401"/>
      <c r="B367" s="402"/>
    </row>
    <row r="368" spans="1:2" ht="12.9" x14ac:dyDescent="0.35">
      <c r="A368" s="401"/>
      <c r="B368" s="402"/>
    </row>
    <row r="369" spans="1:2" ht="12.9" x14ac:dyDescent="0.35">
      <c r="A369" s="401"/>
      <c r="B369" s="402"/>
    </row>
    <row r="370" spans="1:2" ht="12.9" x14ac:dyDescent="0.35">
      <c r="A370" s="401"/>
      <c r="B370" s="402"/>
    </row>
    <row r="371" spans="1:2" ht="12.9" x14ac:dyDescent="0.35">
      <c r="A371" s="401"/>
      <c r="B371" s="402"/>
    </row>
    <row r="372" spans="1:2" ht="12.9" x14ac:dyDescent="0.35">
      <c r="A372" s="401"/>
      <c r="B372" s="402"/>
    </row>
    <row r="373" spans="1:2" ht="12.9" x14ac:dyDescent="0.35">
      <c r="A373" s="401"/>
      <c r="B373" s="402"/>
    </row>
    <row r="374" spans="1:2" ht="12.9" x14ac:dyDescent="0.35">
      <c r="A374" s="401"/>
      <c r="B374" s="402"/>
    </row>
    <row r="375" spans="1:2" ht="12.9" x14ac:dyDescent="0.35">
      <c r="A375" s="401"/>
      <c r="B375" s="402"/>
    </row>
    <row r="376" spans="1:2" ht="12.9" x14ac:dyDescent="0.35">
      <c r="A376" s="401"/>
      <c r="B376" s="402"/>
    </row>
    <row r="377" spans="1:2" ht="12.9" x14ac:dyDescent="0.35">
      <c r="A377" s="401"/>
      <c r="B377" s="402"/>
    </row>
    <row r="378" spans="1:2" ht="12.9" x14ac:dyDescent="0.35">
      <c r="A378" s="401"/>
      <c r="B378" s="402"/>
    </row>
    <row r="379" spans="1:2" ht="12.9" x14ac:dyDescent="0.35">
      <c r="A379" s="401"/>
      <c r="B379" s="402"/>
    </row>
    <row r="380" spans="1:2" ht="12.9" x14ac:dyDescent="0.35">
      <c r="A380" s="401">
        <v>40199</v>
      </c>
      <c r="B380" s="402">
        <v>11352582.826666599</v>
      </c>
    </row>
    <row r="381" spans="1:2" ht="12.9" x14ac:dyDescent="0.35">
      <c r="A381" s="401">
        <v>40200</v>
      </c>
      <c r="B381" s="402">
        <v>8627962.9482666608</v>
      </c>
    </row>
    <row r="382" spans="1:2" ht="12.9" x14ac:dyDescent="0.35">
      <c r="A382" s="401">
        <v>40201</v>
      </c>
      <c r="B382" s="402">
        <v>10379504.2986666</v>
      </c>
    </row>
    <row r="383" spans="1:2" ht="12.9" x14ac:dyDescent="0.35">
      <c r="A383" s="401">
        <v>40202</v>
      </c>
      <c r="B383" s="402">
        <v>9990272.8874666598</v>
      </c>
    </row>
    <row r="384" spans="1:2" ht="12.9" x14ac:dyDescent="0.35">
      <c r="A384" s="401">
        <v>40203</v>
      </c>
      <c r="B384" s="402">
        <v>13687971.293866601</v>
      </c>
    </row>
    <row r="385" spans="1:2" ht="12.9" x14ac:dyDescent="0.35">
      <c r="A385" s="401">
        <v>40204</v>
      </c>
      <c r="B385" s="402">
        <v>13028067.464533299</v>
      </c>
    </row>
    <row r="386" spans="1:2" ht="12.9" x14ac:dyDescent="0.35">
      <c r="A386" s="401">
        <v>40205</v>
      </c>
      <c r="B386" s="402">
        <v>10956938.7906844</v>
      </c>
    </row>
    <row r="387" spans="1:2" ht="12.9" x14ac:dyDescent="0.35">
      <c r="A387" s="401">
        <v>40206</v>
      </c>
      <c r="B387" s="402">
        <v>11825476.6216533</v>
      </c>
    </row>
    <row r="388" spans="1:2" ht="12.9" x14ac:dyDescent="0.35">
      <c r="A388" s="401">
        <v>40207</v>
      </c>
      <c r="B388" s="402">
        <v>13161688.669297701</v>
      </c>
    </row>
    <row r="389" spans="1:2" ht="12.9" x14ac:dyDescent="0.35">
      <c r="A389" s="401">
        <v>40208</v>
      </c>
      <c r="B389" s="402">
        <v>14030226.5002666</v>
      </c>
    </row>
    <row r="390" spans="1:2" ht="12.9" x14ac:dyDescent="0.35">
      <c r="A390" s="401">
        <v>40209</v>
      </c>
      <c r="B390" s="402">
        <v>11023749.3930666</v>
      </c>
    </row>
    <row r="391" spans="1:2" ht="12.9" x14ac:dyDescent="0.35">
      <c r="A391" s="401">
        <v>40210</v>
      </c>
      <c r="B391" s="402">
        <v>12293150.838328799</v>
      </c>
    </row>
    <row r="392" spans="1:2" ht="12.9" x14ac:dyDescent="0.35">
      <c r="A392" s="401">
        <v>40211</v>
      </c>
      <c r="B392" s="402">
        <v>9687537.3454222195</v>
      </c>
    </row>
    <row r="393" spans="1:2" ht="12.9" x14ac:dyDescent="0.35">
      <c r="A393" s="401">
        <v>40212</v>
      </c>
      <c r="B393" s="402">
        <v>18038862.643199999</v>
      </c>
    </row>
    <row r="394" spans="1:2" ht="12.9" x14ac:dyDescent="0.35">
      <c r="A394" s="401">
        <v>40213</v>
      </c>
      <c r="B394" s="402">
        <v>15299627.9455288</v>
      </c>
    </row>
    <row r="395" spans="1:2" ht="12.9" x14ac:dyDescent="0.35">
      <c r="A395" s="401">
        <v>40214</v>
      </c>
      <c r="B395" s="402">
        <v>20164324.641754001</v>
      </c>
    </row>
    <row r="396" spans="1:2" ht="12.9" x14ac:dyDescent="0.35">
      <c r="A396" s="401">
        <v>40215</v>
      </c>
      <c r="B396" s="402">
        <v>17361212.247608799</v>
      </c>
    </row>
    <row r="397" spans="1:2" ht="12.9" x14ac:dyDescent="0.35">
      <c r="A397" s="401">
        <v>40216</v>
      </c>
      <c r="B397" s="402">
        <v>19621786.759016201</v>
      </c>
    </row>
    <row r="398" spans="1:2" ht="12.9" x14ac:dyDescent="0.35">
      <c r="A398" s="401">
        <v>40217</v>
      </c>
      <c r="B398" s="402">
        <v>18084596.0912592</v>
      </c>
    </row>
    <row r="399" spans="1:2" ht="12.9" x14ac:dyDescent="0.35">
      <c r="A399" s="401">
        <v>40218</v>
      </c>
      <c r="B399" s="402">
        <v>18717556.954453301</v>
      </c>
    </row>
    <row r="400" spans="1:2" ht="12.9" x14ac:dyDescent="0.35">
      <c r="A400" s="401">
        <v>40219</v>
      </c>
      <c r="B400" s="402">
        <v>15191060.7166577</v>
      </c>
    </row>
    <row r="401" spans="1:2" ht="12.9" x14ac:dyDescent="0.35">
      <c r="A401" s="401">
        <v>40220</v>
      </c>
      <c r="B401" s="402">
        <v>15281483.697114</v>
      </c>
    </row>
    <row r="402" spans="1:2" ht="12.9" x14ac:dyDescent="0.35">
      <c r="A402" s="401">
        <v>40221</v>
      </c>
      <c r="B402" s="402">
        <v>16547405.423502199</v>
      </c>
    </row>
    <row r="403" spans="1:2" ht="12.9" x14ac:dyDescent="0.35">
      <c r="A403" s="401">
        <v>40222</v>
      </c>
      <c r="B403" s="402">
        <v>20978131.465860698</v>
      </c>
    </row>
    <row r="404" spans="1:2" ht="12.9" x14ac:dyDescent="0.35">
      <c r="A404" s="401">
        <v>40223</v>
      </c>
      <c r="B404" s="402">
        <v>18807979.934909601</v>
      </c>
    </row>
    <row r="405" spans="1:2" ht="12.9" x14ac:dyDescent="0.35">
      <c r="A405" s="401">
        <v>40224</v>
      </c>
      <c r="B405" s="402">
        <v>22117490.845771801</v>
      </c>
    </row>
    <row r="406" spans="1:2" ht="12.9" x14ac:dyDescent="0.35">
      <c r="A406" s="401">
        <v>40225</v>
      </c>
      <c r="B406" s="402">
        <v>24505174.516622201</v>
      </c>
    </row>
    <row r="407" spans="1:2" ht="12.9" x14ac:dyDescent="0.35">
      <c r="A407" s="401">
        <v>40226</v>
      </c>
      <c r="B407" s="402">
        <v>30034547.2280651</v>
      </c>
    </row>
    <row r="408" spans="1:2" ht="12.9" x14ac:dyDescent="0.35">
      <c r="A408" s="401">
        <v>40227</v>
      </c>
      <c r="B408" s="402">
        <v>26138852.8177303</v>
      </c>
    </row>
    <row r="409" spans="1:2" ht="12.9" x14ac:dyDescent="0.35">
      <c r="A409" s="401">
        <v>40228</v>
      </c>
      <c r="B409" s="402">
        <v>24128171.831751101</v>
      </c>
    </row>
    <row r="410" spans="1:2" ht="12.9" x14ac:dyDescent="0.35">
      <c r="A410" s="401">
        <v>40229</v>
      </c>
      <c r="B410" s="402">
        <v>26138852.8177303</v>
      </c>
    </row>
    <row r="411" spans="1:2" ht="12.9" x14ac:dyDescent="0.35">
      <c r="A411" s="401">
        <v>40230</v>
      </c>
      <c r="B411" s="402">
        <v>28023866.2420859</v>
      </c>
    </row>
    <row r="412" spans="1:2" ht="12.9" x14ac:dyDescent="0.35">
      <c r="A412" s="401">
        <v>40231</v>
      </c>
      <c r="B412" s="402">
        <v>32673566.022162899</v>
      </c>
    </row>
    <row r="413" spans="1:2" ht="12.9" x14ac:dyDescent="0.35">
      <c r="A413" s="401">
        <v>40232</v>
      </c>
      <c r="B413" s="402">
        <v>31416890.4059259</v>
      </c>
    </row>
    <row r="414" spans="1:2" ht="12.9" x14ac:dyDescent="0.35">
      <c r="A414" s="401">
        <v>40233</v>
      </c>
      <c r="B414" s="402">
        <v>32140224.5393066</v>
      </c>
    </row>
    <row r="415" spans="1:2" ht="12.9" x14ac:dyDescent="0.35">
      <c r="A415" s="401">
        <v>40234</v>
      </c>
      <c r="B415" s="402">
        <v>28944997.538322899</v>
      </c>
    </row>
    <row r="416" spans="1:2" ht="12.9" x14ac:dyDescent="0.35">
      <c r="A416" s="401">
        <v>40235</v>
      </c>
      <c r="B416" s="402">
        <v>32328179.068776298</v>
      </c>
    </row>
    <row r="417" spans="1:2" ht="12.9" x14ac:dyDescent="0.35">
      <c r="A417" s="401">
        <v>40236</v>
      </c>
      <c r="B417" s="402">
        <v>32328179.068776298</v>
      </c>
    </row>
    <row r="418" spans="1:2" ht="12.9" x14ac:dyDescent="0.35">
      <c r="A418" s="401">
        <v>40237</v>
      </c>
      <c r="B418" s="402">
        <v>29320906.5972622</v>
      </c>
    </row>
    <row r="419" spans="1:2" ht="12.9" x14ac:dyDescent="0.35">
      <c r="A419" s="401">
        <v>40238</v>
      </c>
      <c r="B419" s="402">
        <v>36651133.246577702</v>
      </c>
    </row>
    <row r="420" spans="1:2" ht="12.9" x14ac:dyDescent="0.35">
      <c r="A420" s="401">
        <v>40239</v>
      </c>
      <c r="B420" s="402">
        <v>35335451.540290304</v>
      </c>
    </row>
    <row r="421" spans="1:2" ht="12.9" x14ac:dyDescent="0.35">
      <c r="A421" s="401">
        <v>40240</v>
      </c>
      <c r="B421" s="402">
        <v>28569088.4793837</v>
      </c>
    </row>
    <row r="422" spans="1:2" ht="12.9" x14ac:dyDescent="0.35">
      <c r="A422" s="401">
        <v>40241</v>
      </c>
      <c r="B422" s="402">
        <v>34771587.951881401</v>
      </c>
    </row>
    <row r="423" spans="1:2" ht="12.9" x14ac:dyDescent="0.35">
      <c r="A423" s="401">
        <v>40242</v>
      </c>
      <c r="B423" s="402">
        <v>32140224.5393066</v>
      </c>
    </row>
    <row r="424" spans="1:2" ht="12.9" x14ac:dyDescent="0.35">
      <c r="A424" s="401">
        <v>40243</v>
      </c>
      <c r="B424" s="402">
        <v>33267951.7161244</v>
      </c>
    </row>
    <row r="425" spans="1:2" ht="12.9" x14ac:dyDescent="0.35">
      <c r="A425" s="401">
        <v>40244</v>
      </c>
      <c r="B425" s="402">
        <v>33643860.775063701</v>
      </c>
    </row>
    <row r="426" spans="1:2" ht="12.9" x14ac:dyDescent="0.35">
      <c r="A426" s="401">
        <v>40245</v>
      </c>
      <c r="B426" s="402">
        <v>28154653.9614814</v>
      </c>
    </row>
    <row r="427" spans="1:2" ht="12.9" x14ac:dyDescent="0.35">
      <c r="A427" s="401">
        <v>40246</v>
      </c>
      <c r="B427" s="402">
        <v>32884635.8270103</v>
      </c>
    </row>
    <row r="428" spans="1:2" ht="12.9" x14ac:dyDescent="0.35">
      <c r="A428" s="401">
        <v>40247</v>
      </c>
      <c r="B428" s="402">
        <v>36488431.534079902</v>
      </c>
    </row>
    <row r="429" spans="1:2" ht="12.9" x14ac:dyDescent="0.35">
      <c r="A429" s="401">
        <v>40248</v>
      </c>
      <c r="B429" s="402">
        <v>29956551.815016199</v>
      </c>
    </row>
    <row r="430" spans="1:2" ht="12.9" x14ac:dyDescent="0.35">
      <c r="A430" s="401">
        <v>40249</v>
      </c>
      <c r="B430" s="402">
        <v>27253705.034713998</v>
      </c>
    </row>
    <row r="431" spans="1:2" ht="12.9" x14ac:dyDescent="0.35">
      <c r="A431" s="401">
        <v>40250</v>
      </c>
      <c r="B431" s="402">
        <v>34461296.448853299</v>
      </c>
    </row>
    <row r="432" spans="1:2" ht="12.9" x14ac:dyDescent="0.35">
      <c r="A432" s="401">
        <v>40251</v>
      </c>
      <c r="B432" s="402">
        <v>28154653.9614814</v>
      </c>
    </row>
    <row r="433" spans="1:2" ht="12.9" x14ac:dyDescent="0.35">
      <c r="A433" s="401">
        <v>40252</v>
      </c>
      <c r="B433" s="402">
        <v>30407026.2783999</v>
      </c>
    </row>
    <row r="434" spans="1:2" ht="12.9" x14ac:dyDescent="0.35">
      <c r="A434" s="401">
        <v>40253</v>
      </c>
      <c r="B434" s="402">
        <v>28379891.1931733</v>
      </c>
    </row>
    <row r="435" spans="1:2" ht="12.9" x14ac:dyDescent="0.35">
      <c r="A435" s="401">
        <v>40254</v>
      </c>
      <c r="B435" s="402">
        <v>30632263.5100918</v>
      </c>
    </row>
    <row r="436" spans="1:2" ht="12.9" x14ac:dyDescent="0.35">
      <c r="A436" s="401">
        <v>40255</v>
      </c>
      <c r="B436" s="402">
        <v>31533212.436859202</v>
      </c>
    </row>
    <row r="437" spans="1:2" ht="12.9" x14ac:dyDescent="0.35">
      <c r="A437" s="401">
        <v>40256</v>
      </c>
      <c r="B437" s="402">
        <v>34461296.448853299</v>
      </c>
    </row>
    <row r="438" spans="1:2" ht="12.9" x14ac:dyDescent="0.35">
      <c r="A438" s="401">
        <v>40257</v>
      </c>
      <c r="B438" s="402">
        <v>43245548.484835498</v>
      </c>
    </row>
    <row r="439" spans="1:2" ht="12.9" x14ac:dyDescent="0.35">
      <c r="A439" s="401">
        <v>40258</v>
      </c>
      <c r="B439" s="402">
        <v>41218413.399608798</v>
      </c>
    </row>
    <row r="440" spans="1:2" ht="12.9" x14ac:dyDescent="0.35">
      <c r="A440" s="401">
        <v>40259</v>
      </c>
      <c r="B440" s="402">
        <v>40620001.173807397</v>
      </c>
    </row>
    <row r="441" spans="1:2" ht="12.9" x14ac:dyDescent="0.35">
      <c r="A441" s="401">
        <v>40260</v>
      </c>
      <c r="B441" s="402">
        <v>46973967.837866597</v>
      </c>
    </row>
    <row r="442" spans="1:2" ht="12.9" x14ac:dyDescent="0.35">
      <c r="A442" s="401">
        <v>40261</v>
      </c>
      <c r="B442" s="402">
        <v>38804582.126933299</v>
      </c>
    </row>
    <row r="443" spans="1:2" ht="12.9" x14ac:dyDescent="0.35">
      <c r="A443" s="401">
        <v>40262</v>
      </c>
      <c r="B443" s="402">
        <v>42435420.220681399</v>
      </c>
    </row>
    <row r="444" spans="1:2" ht="12.9" x14ac:dyDescent="0.35">
      <c r="A444" s="401">
        <v>40263</v>
      </c>
      <c r="B444" s="402">
        <v>44704694.029274002</v>
      </c>
    </row>
    <row r="445" spans="1:2" ht="12.9" x14ac:dyDescent="0.35">
      <c r="A445" s="401">
        <v>40264</v>
      </c>
      <c r="B445" s="402">
        <v>40393073.792948097</v>
      </c>
    </row>
    <row r="446" spans="1:2" ht="12.9" x14ac:dyDescent="0.35">
      <c r="A446" s="401">
        <v>40265</v>
      </c>
      <c r="B446" s="402">
        <v>42208492.839822203</v>
      </c>
    </row>
    <row r="447" spans="1:2" ht="12.9" x14ac:dyDescent="0.35">
      <c r="A447" s="401">
        <v>40266</v>
      </c>
      <c r="B447" s="402">
        <v>44250839.267555498</v>
      </c>
    </row>
    <row r="448" spans="1:2" ht="12.9" x14ac:dyDescent="0.35">
      <c r="A448" s="401">
        <v>40267</v>
      </c>
      <c r="B448" s="402">
        <v>48789386.884740703</v>
      </c>
    </row>
    <row r="449" spans="1:2" ht="12.9" x14ac:dyDescent="0.35">
      <c r="A449" s="401">
        <v>40268</v>
      </c>
      <c r="B449" s="402">
        <v>47427822.599585101</v>
      </c>
    </row>
    <row r="450" spans="1:2" ht="12.9" x14ac:dyDescent="0.35">
      <c r="A450" s="401">
        <v>40269</v>
      </c>
      <c r="B450" s="402">
        <v>50817814.436977699</v>
      </c>
    </row>
    <row r="451" spans="1:2" ht="12.9" x14ac:dyDescent="0.35">
      <c r="A451" s="401">
        <v>40270</v>
      </c>
      <c r="B451" s="402">
        <v>47187970.548622198</v>
      </c>
    </row>
    <row r="452" spans="1:2" ht="12.9" x14ac:dyDescent="0.35">
      <c r="A452" s="401">
        <v>40271</v>
      </c>
      <c r="B452" s="402">
        <v>48700405.502103701</v>
      </c>
    </row>
    <row r="453" spans="1:2" ht="12.9" x14ac:dyDescent="0.35">
      <c r="A453" s="401">
        <v>40272</v>
      </c>
      <c r="B453" s="402">
        <v>51725275.409066603</v>
      </c>
    </row>
    <row r="454" spans="1:2" ht="12.9" x14ac:dyDescent="0.35">
      <c r="A454" s="401">
        <v>40273</v>
      </c>
      <c r="B454" s="402">
        <v>46280509.576533303</v>
      </c>
    </row>
    <row r="455" spans="1:2" ht="12.9" x14ac:dyDescent="0.35">
      <c r="A455" s="401">
        <v>40274</v>
      </c>
      <c r="B455" s="402">
        <v>48095431.520711102</v>
      </c>
    </row>
    <row r="456" spans="1:2" ht="12.9" x14ac:dyDescent="0.35">
      <c r="A456" s="401">
        <v>40275</v>
      </c>
      <c r="B456" s="402">
        <v>58379989.204385102</v>
      </c>
    </row>
    <row r="457" spans="1:2" ht="12.9" x14ac:dyDescent="0.35">
      <c r="A457" s="401">
        <v>40276</v>
      </c>
      <c r="B457" s="402">
        <v>55355119.2974222</v>
      </c>
    </row>
    <row r="458" spans="1:2" ht="12.9" x14ac:dyDescent="0.35">
      <c r="A458" s="401">
        <v>40277</v>
      </c>
      <c r="B458" s="402">
        <v>57170041.241599999</v>
      </c>
    </row>
    <row r="459" spans="1:2" ht="12.9" x14ac:dyDescent="0.35">
      <c r="A459" s="401">
        <v>40278</v>
      </c>
      <c r="B459" s="402">
        <v>78646617.581037</v>
      </c>
    </row>
    <row r="460" spans="1:2" ht="12.9" x14ac:dyDescent="0.35">
      <c r="A460" s="401">
        <v>40279</v>
      </c>
      <c r="B460" s="402">
        <v>67454598.925274</v>
      </c>
    </row>
    <row r="461" spans="1:2" ht="12.9" x14ac:dyDescent="0.35">
      <c r="A461" s="401">
        <v>40280</v>
      </c>
      <c r="B461" s="402">
        <v>78913064.626251802</v>
      </c>
    </row>
    <row r="462" spans="1:2" ht="12.9" x14ac:dyDescent="0.35">
      <c r="A462" s="401">
        <v>40281</v>
      </c>
      <c r="B462" s="402">
        <v>73470784.3072</v>
      </c>
    </row>
    <row r="463" spans="1:2" ht="12.9" x14ac:dyDescent="0.35">
      <c r="A463" s="401">
        <v>40282</v>
      </c>
      <c r="B463" s="402">
        <v>69972175.530666605</v>
      </c>
    </row>
    <row r="464" spans="1:2" ht="12.9" x14ac:dyDescent="0.35">
      <c r="A464" s="401">
        <v>40283</v>
      </c>
      <c r="B464" s="402">
        <v>83966610.636800006</v>
      </c>
    </row>
    <row r="465" spans="1:2" ht="12.9" x14ac:dyDescent="0.35">
      <c r="A465" s="401">
        <v>40284</v>
      </c>
      <c r="B465" s="402">
        <v>78524330.3177481</v>
      </c>
    </row>
    <row r="466" spans="1:2" ht="12.9" x14ac:dyDescent="0.35">
      <c r="A466" s="401">
        <v>40285</v>
      </c>
      <c r="B466" s="402">
        <v>85910282.179318503</v>
      </c>
    </row>
    <row r="467" spans="1:2" ht="12.9" x14ac:dyDescent="0.35">
      <c r="A467" s="401">
        <v>40286</v>
      </c>
      <c r="B467" s="402">
        <v>95239905.583407402</v>
      </c>
    </row>
    <row r="468" spans="1:2" ht="12.9" x14ac:dyDescent="0.35">
      <c r="A468" s="401">
        <v>40287</v>
      </c>
      <c r="B468" s="402">
        <v>90186359.572859198</v>
      </c>
    </row>
    <row r="469" spans="1:2" ht="12.9" x14ac:dyDescent="0.35">
      <c r="A469" s="401">
        <v>40288</v>
      </c>
      <c r="B469" s="402">
        <v>79690533.243259206</v>
      </c>
    </row>
    <row r="470" spans="1:2" ht="12.9" x14ac:dyDescent="0.35">
      <c r="A470" s="401">
        <v>40289</v>
      </c>
      <c r="B470" s="402">
        <v>85132813.562311098</v>
      </c>
    </row>
    <row r="471" spans="1:2" ht="12.9" x14ac:dyDescent="0.35">
      <c r="A471" s="401">
        <v>40290</v>
      </c>
      <c r="B471" s="402">
        <v>90610686.434417695</v>
      </c>
    </row>
    <row r="472" spans="1:2" ht="12.9" x14ac:dyDescent="0.35">
      <c r="A472" s="401">
        <v>40291</v>
      </c>
      <c r="B472" s="402">
        <v>85481779.655111104</v>
      </c>
    </row>
    <row r="473" spans="1:2" ht="12.9" x14ac:dyDescent="0.35">
      <c r="A473" s="401">
        <v>40292</v>
      </c>
      <c r="B473" s="402">
        <v>95739593.213724405</v>
      </c>
    </row>
    <row r="474" spans="1:2" ht="12.9" x14ac:dyDescent="0.35">
      <c r="A474" s="401">
        <v>40293</v>
      </c>
      <c r="B474" s="402">
        <v>90040807.903383702</v>
      </c>
    </row>
    <row r="475" spans="1:2" ht="12.9" x14ac:dyDescent="0.35">
      <c r="A475" s="401">
        <v>40294</v>
      </c>
      <c r="B475" s="402">
        <v>93460079.089588106</v>
      </c>
    </row>
    <row r="476" spans="1:2" ht="12.9" x14ac:dyDescent="0.35">
      <c r="A476" s="401">
        <v>40295</v>
      </c>
      <c r="B476" s="402">
        <v>102578135.586133</v>
      </c>
    </row>
    <row r="477" spans="1:2" ht="12.9" x14ac:dyDescent="0.35">
      <c r="A477" s="401">
        <v>40296</v>
      </c>
      <c r="B477" s="402">
        <v>102578135.586133</v>
      </c>
    </row>
    <row r="478" spans="1:2" ht="12.9" x14ac:dyDescent="0.35">
      <c r="A478" s="401">
        <v>40297</v>
      </c>
      <c r="B478" s="402">
        <v>83772144.062008798</v>
      </c>
    </row>
    <row r="479" spans="1:2" ht="12.9" x14ac:dyDescent="0.35">
      <c r="A479" s="401">
        <v>40298</v>
      </c>
      <c r="B479" s="402">
        <v>82062508.468906596</v>
      </c>
    </row>
    <row r="480" spans="1:2" ht="12.9" x14ac:dyDescent="0.35">
      <c r="A480" s="401">
        <v>40299</v>
      </c>
      <c r="B480" s="402">
        <v>104287771.179235</v>
      </c>
    </row>
    <row r="481" spans="1:2" ht="12.9" x14ac:dyDescent="0.35">
      <c r="A481" s="401">
        <v>40300</v>
      </c>
      <c r="B481" s="402">
        <v>88331172.310281396</v>
      </c>
    </row>
    <row r="482" spans="1:2" ht="12.9" x14ac:dyDescent="0.35">
      <c r="A482" s="401">
        <v>40301</v>
      </c>
      <c r="B482" s="402">
        <v>90610686.434417695</v>
      </c>
    </row>
    <row r="483" spans="1:2" ht="12.9" x14ac:dyDescent="0.35">
      <c r="A483" s="401">
        <v>40302</v>
      </c>
      <c r="B483" s="402">
        <v>86866906.608071104</v>
      </c>
    </row>
    <row r="484" spans="1:2" ht="12.9" x14ac:dyDescent="0.35">
      <c r="A484" s="401">
        <v>40303</v>
      </c>
      <c r="B484" s="402">
        <v>87505633.862542197</v>
      </c>
    </row>
    <row r="485" spans="1:2" ht="12.9" x14ac:dyDescent="0.35">
      <c r="A485" s="401">
        <v>40304</v>
      </c>
      <c r="B485" s="402">
        <v>95170360.916195497</v>
      </c>
    </row>
    <row r="486" spans="1:2" ht="12.9" x14ac:dyDescent="0.35">
      <c r="A486" s="401">
        <v>40305</v>
      </c>
      <c r="B486" s="402">
        <v>84311997.590186596</v>
      </c>
    </row>
    <row r="487" spans="1:2" ht="12.9" x14ac:dyDescent="0.35">
      <c r="A487" s="401">
        <v>40306</v>
      </c>
      <c r="B487" s="402">
        <v>98363997.188551098</v>
      </c>
    </row>
    <row r="488" spans="1:2" ht="12.9" x14ac:dyDescent="0.35">
      <c r="A488" s="401">
        <v>40307</v>
      </c>
      <c r="B488" s="402">
        <v>91337997.389368802</v>
      </c>
    </row>
    <row r="489" spans="1:2" ht="12.9" x14ac:dyDescent="0.35">
      <c r="A489" s="401">
        <v>40308</v>
      </c>
      <c r="B489" s="402">
        <v>81757088.572302207</v>
      </c>
    </row>
    <row r="490" spans="1:2" ht="12.9" x14ac:dyDescent="0.35">
      <c r="A490" s="401">
        <v>40309</v>
      </c>
      <c r="B490" s="402">
        <v>70898725.246293306</v>
      </c>
    </row>
    <row r="491" spans="1:2" ht="12.9" x14ac:dyDescent="0.35">
      <c r="A491" s="401">
        <v>40310</v>
      </c>
      <c r="B491" s="402">
        <v>81118361.317831099</v>
      </c>
    </row>
    <row r="492" spans="1:2" ht="12.9" x14ac:dyDescent="0.35">
      <c r="A492" s="401">
        <v>40311</v>
      </c>
      <c r="B492" s="402">
        <v>81757088.572302207</v>
      </c>
    </row>
    <row r="493" spans="1:2" ht="12.9" x14ac:dyDescent="0.35">
      <c r="A493" s="401">
        <v>40312</v>
      </c>
      <c r="B493" s="402">
        <v>78563452.299946606</v>
      </c>
    </row>
    <row r="494" spans="1:2" ht="12.9" x14ac:dyDescent="0.35">
      <c r="A494" s="401">
        <v>40313</v>
      </c>
      <c r="B494" s="402">
        <v>58124180.156871103</v>
      </c>
    </row>
    <row r="495" spans="1:2" ht="12.9" x14ac:dyDescent="0.35">
      <c r="A495" s="401">
        <v>40314</v>
      </c>
      <c r="B495" s="402">
        <v>72176179.755235493</v>
      </c>
    </row>
    <row r="496" spans="1:2" ht="12.9" x14ac:dyDescent="0.35">
      <c r="A496" s="401">
        <v>40315</v>
      </c>
      <c r="B496" s="402">
        <v>91337997.389368802</v>
      </c>
    </row>
    <row r="497" spans="1:2" ht="12.9" x14ac:dyDescent="0.35">
      <c r="A497" s="401">
        <v>40316</v>
      </c>
      <c r="B497" s="402">
        <v>107306178.751146</v>
      </c>
    </row>
    <row r="498" spans="1:2" ht="12.9" x14ac:dyDescent="0.35">
      <c r="A498" s="401">
        <v>40317</v>
      </c>
      <c r="B498" s="402">
        <v>104751269.733262</v>
      </c>
    </row>
    <row r="499" spans="1:2" ht="12.9" x14ac:dyDescent="0.35">
      <c r="A499" s="401">
        <v>40318</v>
      </c>
      <c r="B499" s="402">
        <v>119540174.368616</v>
      </c>
    </row>
    <row r="500" spans="1:2" ht="12.9" x14ac:dyDescent="0.35">
      <c r="A500" s="401">
        <v>40319</v>
      </c>
      <c r="B500" s="402">
        <v>103640742.309736</v>
      </c>
    </row>
    <row r="501" spans="1:2" ht="12.9" x14ac:dyDescent="0.35">
      <c r="A501" s="401">
        <v>40320</v>
      </c>
      <c r="B501" s="402">
        <v>114829231.536355</v>
      </c>
    </row>
    <row r="502" spans="1:2" ht="12.9" x14ac:dyDescent="0.35">
      <c r="A502" s="401">
        <v>40321</v>
      </c>
      <c r="B502" s="402">
        <v>124251117.200877</v>
      </c>
    </row>
    <row r="503" spans="1:2" ht="12.9" x14ac:dyDescent="0.35">
      <c r="A503" s="401">
        <v>40322</v>
      </c>
      <c r="B503" s="402">
        <v>110707156.558127</v>
      </c>
    </row>
    <row r="504" spans="1:2" ht="12.9" x14ac:dyDescent="0.35">
      <c r="A504" s="401">
        <v>40323</v>
      </c>
      <c r="B504" s="402">
        <v>123662249.346844</v>
      </c>
    </row>
    <row r="505" spans="1:2" ht="12.9" x14ac:dyDescent="0.35">
      <c r="A505" s="401">
        <v>40324</v>
      </c>
      <c r="B505" s="402">
        <v>131317531.449268</v>
      </c>
    </row>
    <row r="506" spans="1:2" ht="12.9" x14ac:dyDescent="0.35">
      <c r="A506" s="401">
        <v>40325</v>
      </c>
      <c r="B506" s="402">
        <v>113062627.97425701</v>
      </c>
    </row>
    <row r="507" spans="1:2" ht="12.9" x14ac:dyDescent="0.35">
      <c r="A507" s="401">
        <v>40326</v>
      </c>
      <c r="B507" s="402">
        <v>131317531.449268</v>
      </c>
    </row>
    <row r="508" spans="1:2" ht="12.9" x14ac:dyDescent="0.35">
      <c r="A508" s="401">
        <v>40327</v>
      </c>
      <c r="B508" s="402">
        <v>108351685.14199699</v>
      </c>
    </row>
    <row r="509" spans="1:2" ht="12.9" x14ac:dyDescent="0.35">
      <c r="A509" s="401">
        <v>40328</v>
      </c>
      <c r="B509" s="402">
        <v>123094110.675247</v>
      </c>
    </row>
    <row r="510" spans="1:2" ht="12.9" x14ac:dyDescent="0.35">
      <c r="A510" s="401">
        <v>40329</v>
      </c>
      <c r="B510" s="402">
        <v>117311165.87842301</v>
      </c>
    </row>
    <row r="511" spans="1:2" ht="12.9" x14ac:dyDescent="0.35">
      <c r="A511" s="401">
        <v>40330</v>
      </c>
      <c r="B511" s="402">
        <v>111528221.0816</v>
      </c>
    </row>
    <row r="512" spans="1:2" ht="12.9" x14ac:dyDescent="0.35">
      <c r="A512" s="401">
        <v>40331</v>
      </c>
      <c r="B512" s="402">
        <v>121441840.73329701</v>
      </c>
    </row>
    <row r="513" spans="1:2" ht="12.9" x14ac:dyDescent="0.35">
      <c r="A513" s="401">
        <v>40332</v>
      </c>
      <c r="B513" s="402">
        <v>125572515.58817101</v>
      </c>
    </row>
    <row r="514" spans="1:2" ht="12.9" x14ac:dyDescent="0.35">
      <c r="A514" s="401">
        <v>40333</v>
      </c>
      <c r="B514" s="402">
        <v>103266871.371851</v>
      </c>
    </row>
    <row r="515" spans="1:2" ht="12.9" x14ac:dyDescent="0.35">
      <c r="A515" s="401">
        <v>40334</v>
      </c>
      <c r="B515" s="402">
        <v>119789570.791348</v>
      </c>
    </row>
    <row r="516" spans="1:2" ht="12.9" x14ac:dyDescent="0.35">
      <c r="A516" s="401">
        <v>40335</v>
      </c>
      <c r="B516" s="402">
        <v>122267975.704272</v>
      </c>
    </row>
    <row r="517" spans="1:2" ht="12.9" x14ac:dyDescent="0.35">
      <c r="A517" s="401">
        <v>40336</v>
      </c>
      <c r="B517" s="402">
        <v>129703190.44304501</v>
      </c>
    </row>
    <row r="518" spans="1:2" ht="12.9" x14ac:dyDescent="0.35">
      <c r="A518" s="401">
        <v>40337</v>
      </c>
      <c r="B518" s="402">
        <v>132181595.35597</v>
      </c>
    </row>
    <row r="519" spans="1:2" ht="12.9" x14ac:dyDescent="0.35">
      <c r="A519" s="401">
        <v>40338</v>
      </c>
      <c r="B519" s="402">
        <v>138790675.123768</v>
      </c>
    </row>
    <row r="520" spans="1:2" ht="12.9" x14ac:dyDescent="0.35">
      <c r="A520" s="401">
        <v>40339</v>
      </c>
      <c r="B520" s="402">
        <v>132181595.35597</v>
      </c>
    </row>
    <row r="521" spans="1:2" ht="12.9" x14ac:dyDescent="0.35">
      <c r="A521" s="401">
        <v>40340</v>
      </c>
      <c r="B521" s="402">
        <v>138790675.123768</v>
      </c>
    </row>
    <row r="522" spans="1:2" ht="12.9" x14ac:dyDescent="0.35">
      <c r="A522" s="401">
        <v>40341</v>
      </c>
      <c r="B522" s="402">
        <v>116641916.5184</v>
      </c>
    </row>
    <row r="523" spans="1:2" ht="12.9" x14ac:dyDescent="0.35">
      <c r="A523" s="401">
        <v>40342</v>
      </c>
      <c r="B523" s="402">
        <v>148610441.786405</v>
      </c>
    </row>
    <row r="524" spans="1:2" ht="12.9" x14ac:dyDescent="0.35">
      <c r="A524" s="401">
        <v>40343</v>
      </c>
      <c r="B524" s="402">
        <v>139106285.62564701</v>
      </c>
    </row>
    <row r="525" spans="1:2" ht="12.9" x14ac:dyDescent="0.35">
      <c r="A525" s="401">
        <v>40344</v>
      </c>
      <c r="B525" s="402">
        <v>158978612.14359701</v>
      </c>
    </row>
    <row r="526" spans="1:2" ht="12.9" x14ac:dyDescent="0.35">
      <c r="A526" s="401">
        <v>40345</v>
      </c>
      <c r="B526" s="402">
        <v>122690015.893428</v>
      </c>
    </row>
    <row r="527" spans="1:2" ht="12.9" x14ac:dyDescent="0.35">
      <c r="A527" s="401">
        <v>40346</v>
      </c>
      <c r="B527" s="402">
        <v>126146072.679158</v>
      </c>
    </row>
    <row r="528" spans="1:2" ht="12.9" x14ac:dyDescent="0.35">
      <c r="A528" s="401">
        <v>40347</v>
      </c>
      <c r="B528" s="402">
        <v>129602129.46488801</v>
      </c>
    </row>
    <row r="529" spans="1:2" ht="12.9" x14ac:dyDescent="0.35">
      <c r="A529" s="401">
        <v>40348</v>
      </c>
      <c r="B529" s="402">
        <v>129602129.46488801</v>
      </c>
    </row>
    <row r="530" spans="1:2" ht="12.9" x14ac:dyDescent="0.35">
      <c r="A530" s="401">
        <v>40349</v>
      </c>
      <c r="B530" s="402">
        <v>159842626.340029</v>
      </c>
    </row>
    <row r="531" spans="1:2" ht="12.9" x14ac:dyDescent="0.35">
      <c r="A531" s="401">
        <v>40350</v>
      </c>
      <c r="B531" s="402">
        <v>133058186.25061899</v>
      </c>
    </row>
    <row r="532" spans="1:2" ht="12.9" x14ac:dyDescent="0.35">
      <c r="A532" s="401">
        <v>40351</v>
      </c>
      <c r="B532" s="402">
        <v>134786214.643484</v>
      </c>
    </row>
    <row r="533" spans="1:2" ht="12.9" x14ac:dyDescent="0.35">
      <c r="A533" s="401">
        <v>40352</v>
      </c>
      <c r="B533" s="402">
        <v>161570654.732894</v>
      </c>
    </row>
    <row r="534" spans="1:2" ht="12.9" x14ac:dyDescent="0.35">
      <c r="A534" s="401">
        <v>40353</v>
      </c>
      <c r="B534" s="402">
        <v>146018399.197108</v>
      </c>
    </row>
    <row r="535" spans="1:2" ht="12.9" x14ac:dyDescent="0.35">
      <c r="A535" s="401">
        <v>40354</v>
      </c>
      <c r="B535" s="402">
        <v>144694167.324444</v>
      </c>
    </row>
    <row r="536" spans="1:2" ht="12.9" x14ac:dyDescent="0.35">
      <c r="A536" s="401">
        <v>40355</v>
      </c>
      <c r="B536" s="402">
        <v>153375817.363911</v>
      </c>
    </row>
    <row r="537" spans="1:2" ht="12.9" x14ac:dyDescent="0.35">
      <c r="A537" s="401">
        <v>40356</v>
      </c>
      <c r="B537" s="402">
        <v>171703745.225007</v>
      </c>
    </row>
    <row r="538" spans="1:2" ht="12.9" x14ac:dyDescent="0.35">
      <c r="A538" s="401">
        <v>40357</v>
      </c>
      <c r="B538" s="402">
        <v>146623422.88877001</v>
      </c>
    </row>
    <row r="539" spans="1:2" ht="12.9" x14ac:dyDescent="0.35">
      <c r="A539" s="401">
        <v>40358</v>
      </c>
      <c r="B539" s="402">
        <v>163022095.18553999</v>
      </c>
    </row>
    <row r="540" spans="1:2" ht="12.9" x14ac:dyDescent="0.35">
      <c r="A540" s="401">
        <v>40359</v>
      </c>
      <c r="B540" s="402">
        <v>175562256.353659</v>
      </c>
    </row>
    <row r="541" spans="1:2" ht="12.9" x14ac:dyDescent="0.35">
      <c r="A541" s="401">
        <v>40360</v>
      </c>
      <c r="B541" s="402">
        <v>203536462.036385</v>
      </c>
    </row>
    <row r="542" spans="1:2" ht="12.9" x14ac:dyDescent="0.35">
      <c r="A542" s="401">
        <v>40361</v>
      </c>
      <c r="B542" s="402">
        <v>161092839.621214</v>
      </c>
    </row>
    <row r="543" spans="1:2" ht="12.9" x14ac:dyDescent="0.35">
      <c r="A543" s="401">
        <v>40362</v>
      </c>
      <c r="B543" s="402">
        <v>204501089.81854799</v>
      </c>
    </row>
    <row r="544" spans="1:2" ht="12.9" x14ac:dyDescent="0.35">
      <c r="A544" s="401">
        <v>40363</v>
      </c>
      <c r="B544" s="402">
        <v>160128211.83905101</v>
      </c>
    </row>
    <row r="545" spans="1:2" ht="12.9" x14ac:dyDescent="0.35">
      <c r="A545" s="401">
        <v>40364</v>
      </c>
      <c r="B545" s="402">
        <v>172668373.00716999</v>
      </c>
    </row>
    <row r="546" spans="1:2" ht="12.9" x14ac:dyDescent="0.35">
      <c r="A546" s="401">
        <v>40365</v>
      </c>
      <c r="B546" s="402">
        <v>197432736.86964101</v>
      </c>
    </row>
    <row r="547" spans="1:2" ht="12.9" x14ac:dyDescent="0.35">
      <c r="A547" s="401">
        <v>40366</v>
      </c>
      <c r="B547" s="402">
        <v>182245603.26428401</v>
      </c>
    </row>
    <row r="548" spans="1:2" ht="12.9" x14ac:dyDescent="0.35">
      <c r="A548" s="401">
        <v>40367</v>
      </c>
      <c r="B548" s="402">
        <v>176404398.031454</v>
      </c>
    </row>
    <row r="549" spans="1:2" ht="12.9" x14ac:dyDescent="0.35">
      <c r="A549" s="401">
        <v>40368</v>
      </c>
      <c r="B549" s="402">
        <v>232479968.266619</v>
      </c>
    </row>
    <row r="550" spans="1:2" ht="12.9" x14ac:dyDescent="0.35">
      <c r="A550" s="401">
        <v>40369</v>
      </c>
      <c r="B550" s="402">
        <v>231311727.22005299</v>
      </c>
    </row>
    <row r="551" spans="1:2" ht="12.9" x14ac:dyDescent="0.35">
      <c r="A551" s="401">
        <v>40370</v>
      </c>
      <c r="B551" s="402">
        <v>209115147.3353</v>
      </c>
    </row>
    <row r="552" spans="1:2" ht="12.9" x14ac:dyDescent="0.35">
      <c r="A552" s="401">
        <v>40371</v>
      </c>
      <c r="B552" s="402">
        <v>769870849.68694496</v>
      </c>
    </row>
    <row r="553" spans="1:2" ht="12.9" x14ac:dyDescent="0.35">
      <c r="A553" s="401">
        <v>40372</v>
      </c>
      <c r="B553" s="402">
        <v>1561256005.80797</v>
      </c>
    </row>
    <row r="554" spans="1:2" ht="12.9" x14ac:dyDescent="0.35">
      <c r="A554" s="401">
        <v>40373</v>
      </c>
      <c r="B554" s="402">
        <v>1304054871.9031899</v>
      </c>
    </row>
    <row r="555" spans="1:2" ht="12.9" x14ac:dyDescent="0.35">
      <c r="A555" s="401">
        <v>40374</v>
      </c>
      <c r="B555" s="402">
        <v>1407837785.58407</v>
      </c>
    </row>
    <row r="556" spans="1:2" ht="12.9" x14ac:dyDescent="0.35">
      <c r="A556" s="401">
        <v>40375</v>
      </c>
      <c r="B556" s="402">
        <v>1139355900.19223</v>
      </c>
    </row>
    <row r="557" spans="1:2" ht="12.9" x14ac:dyDescent="0.35">
      <c r="A557" s="401">
        <v>40376</v>
      </c>
      <c r="B557" s="402">
        <v>1561247405.93133</v>
      </c>
    </row>
    <row r="558" spans="1:2" ht="12.9" x14ac:dyDescent="0.35">
      <c r="A558" s="401">
        <v>40377</v>
      </c>
      <c r="B558" s="402">
        <v>1552222854.4519501</v>
      </c>
    </row>
    <row r="559" spans="1:2" ht="12.9" x14ac:dyDescent="0.35">
      <c r="A559" s="401">
        <v>40378</v>
      </c>
      <c r="B559" s="402">
        <v>1570271957.4107001</v>
      </c>
    </row>
    <row r="560" spans="1:2" ht="12.9" x14ac:dyDescent="0.35">
      <c r="A560" s="401">
        <v>40379</v>
      </c>
      <c r="B560" s="402">
        <v>1633443817.7663</v>
      </c>
    </row>
    <row r="561" spans="1:2" ht="12.9" x14ac:dyDescent="0.35">
      <c r="A561" s="401">
        <v>40380</v>
      </c>
      <c r="B561" s="402">
        <v>1868082156.22997</v>
      </c>
    </row>
    <row r="562" spans="1:2" ht="12.9" x14ac:dyDescent="0.35">
      <c r="A562" s="401">
        <v>40381</v>
      </c>
      <c r="B562" s="402">
        <v>1588321060.3694401</v>
      </c>
    </row>
    <row r="563" spans="1:2" ht="12.9" x14ac:dyDescent="0.35">
      <c r="A563" s="401">
        <v>40382</v>
      </c>
      <c r="B563" s="402">
        <v>1750762986.9981301</v>
      </c>
    </row>
    <row r="564" spans="1:2" ht="12.9" x14ac:dyDescent="0.35">
      <c r="A564" s="401">
        <v>40383</v>
      </c>
      <c r="B564" s="402">
        <v>1705640229.60128</v>
      </c>
    </row>
    <row r="565" spans="1:2" ht="12.9" x14ac:dyDescent="0.35">
      <c r="A565" s="401">
        <v>40384</v>
      </c>
      <c r="B565" s="402">
        <v>2084671391.73489</v>
      </c>
    </row>
    <row r="566" spans="1:2" ht="12.9" x14ac:dyDescent="0.35">
      <c r="A566" s="401">
        <v>40385</v>
      </c>
      <c r="B566" s="402">
        <v>2192966009.48736</v>
      </c>
    </row>
    <row r="567" spans="1:2" ht="12.9" x14ac:dyDescent="0.35">
      <c r="A567" s="401">
        <v>40386</v>
      </c>
      <c r="B567" s="402">
        <v>2015222416.7920799</v>
      </c>
    </row>
    <row r="568" spans="1:2" ht="12.9" x14ac:dyDescent="0.35">
      <c r="A568" s="401">
        <v>40387</v>
      </c>
      <c r="B568" s="402">
        <v>1930243158.25265</v>
      </c>
    </row>
    <row r="569" spans="1:2" ht="12.9" x14ac:dyDescent="0.35">
      <c r="A569" s="401">
        <v>40388</v>
      </c>
      <c r="B569" s="402">
        <v>2185180933.8709302</v>
      </c>
    </row>
    <row r="570" spans="1:2" ht="12.9" x14ac:dyDescent="0.35">
      <c r="A570" s="401">
        <v>40389</v>
      </c>
      <c r="B570" s="402">
        <v>2209460722.0250502</v>
      </c>
    </row>
    <row r="571" spans="1:2" ht="12.9" x14ac:dyDescent="0.35">
      <c r="A571" s="401">
        <v>40390</v>
      </c>
      <c r="B571" s="402">
        <v>2464398497.6433301</v>
      </c>
    </row>
    <row r="572" spans="1:2" ht="12.9" x14ac:dyDescent="0.35">
      <c r="A572" s="401">
        <v>40391</v>
      </c>
      <c r="B572" s="402">
        <v>2901434684.41751</v>
      </c>
    </row>
    <row r="573" spans="1:2" ht="12.9" x14ac:dyDescent="0.35">
      <c r="A573" s="401">
        <v>40392</v>
      </c>
      <c r="B573" s="402">
        <v>2937854366.6486902</v>
      </c>
    </row>
    <row r="574" spans="1:2" ht="12.9" x14ac:dyDescent="0.35">
      <c r="A574" s="401">
        <v>40393</v>
      </c>
      <c r="B574" s="402">
        <v>2755755955.4927802</v>
      </c>
    </row>
    <row r="575" spans="1:2" ht="12.9" x14ac:dyDescent="0.35">
      <c r="A575" s="401">
        <v>40394</v>
      </c>
      <c r="B575" s="402">
        <v>2949994260.72576</v>
      </c>
    </row>
    <row r="576" spans="1:2" ht="12.9" x14ac:dyDescent="0.35">
      <c r="A576" s="401">
        <v>40395</v>
      </c>
      <c r="B576" s="402">
        <v>2646496908.7992401</v>
      </c>
    </row>
    <row r="577" spans="1:2" ht="12.9" x14ac:dyDescent="0.35">
      <c r="A577" s="401">
        <v>40396</v>
      </c>
      <c r="B577" s="402">
        <v>2573384684.6668701</v>
      </c>
    </row>
    <row r="578" spans="1:2" ht="12.9" x14ac:dyDescent="0.35">
      <c r="A578" s="401">
        <v>40397</v>
      </c>
      <c r="B578" s="402">
        <v>2713432830.7712002</v>
      </c>
    </row>
    <row r="579" spans="1:2" ht="12.9" x14ac:dyDescent="0.35">
      <c r="A579" s="401">
        <v>40398</v>
      </c>
      <c r="B579" s="402">
        <v>3483697634.3449502</v>
      </c>
    </row>
    <row r="580" spans="1:2" ht="12.9" x14ac:dyDescent="0.35">
      <c r="A580" s="401">
        <v>40399</v>
      </c>
      <c r="B580" s="402">
        <v>3326143469.9776001</v>
      </c>
    </row>
    <row r="581" spans="1:2" ht="12.9" x14ac:dyDescent="0.35">
      <c r="A581" s="401">
        <v>40400</v>
      </c>
      <c r="B581" s="402">
        <v>3343649488.2406402</v>
      </c>
    </row>
    <row r="582" spans="1:2" ht="12.9" x14ac:dyDescent="0.35">
      <c r="A582" s="401">
        <v>40401</v>
      </c>
      <c r="B582" s="402">
        <v>4078902255.2883101</v>
      </c>
    </row>
    <row r="583" spans="1:2" ht="12.9" x14ac:dyDescent="0.35">
      <c r="A583" s="401">
        <v>40402</v>
      </c>
      <c r="B583" s="402">
        <v>3798805963.07968</v>
      </c>
    </row>
    <row r="584" spans="1:2" ht="12.9" x14ac:dyDescent="0.35">
      <c r="A584" s="401">
        <v>40403</v>
      </c>
      <c r="B584" s="402">
        <v>3763793926.5535998</v>
      </c>
    </row>
    <row r="585" spans="1:2" ht="12.9" x14ac:dyDescent="0.35">
      <c r="A585" s="401">
        <v>40404</v>
      </c>
      <c r="B585" s="402">
        <v>4919191131.9142399</v>
      </c>
    </row>
    <row r="586" spans="1:2" ht="12.9" x14ac:dyDescent="0.35">
      <c r="A586" s="401">
        <v>40405</v>
      </c>
      <c r="B586" s="402">
        <v>3623745780.4492798</v>
      </c>
    </row>
    <row r="587" spans="1:2" ht="12.9" x14ac:dyDescent="0.35">
      <c r="A587" s="401">
        <v>40406</v>
      </c>
      <c r="B587" s="402">
        <v>3739742258.8267999</v>
      </c>
    </row>
    <row r="588" spans="1:2" ht="12.9" x14ac:dyDescent="0.35">
      <c r="A588" s="401">
        <v>40407</v>
      </c>
      <c r="B588" s="402">
        <v>3281814635.2969899</v>
      </c>
    </row>
    <row r="589" spans="1:2" ht="12.9" x14ac:dyDescent="0.35">
      <c r="A589" s="401">
        <v>40408</v>
      </c>
      <c r="B589" s="402">
        <v>3383576329.4147301</v>
      </c>
    </row>
    <row r="590" spans="1:2" ht="12.9" x14ac:dyDescent="0.35">
      <c r="A590" s="401">
        <v>40409</v>
      </c>
      <c r="B590" s="402">
        <v>3434457176.4735999</v>
      </c>
    </row>
    <row r="591" spans="1:2" ht="12.9" x14ac:dyDescent="0.35">
      <c r="A591" s="401">
        <v>40410</v>
      </c>
      <c r="B591" s="402">
        <v>4910001741.1807699</v>
      </c>
    </row>
    <row r="592" spans="1:2" ht="12.9" x14ac:dyDescent="0.35">
      <c r="A592" s="401">
        <v>40411</v>
      </c>
      <c r="B592" s="402">
        <v>4401193270.5920897</v>
      </c>
    </row>
    <row r="593" spans="1:2" ht="12.9" x14ac:dyDescent="0.35">
      <c r="A593" s="401">
        <v>40412</v>
      </c>
      <c r="B593" s="402">
        <v>5393369788.2400198</v>
      </c>
    </row>
    <row r="594" spans="1:2" ht="12.9" x14ac:dyDescent="0.35">
      <c r="A594" s="401">
        <v>40413</v>
      </c>
      <c r="B594" s="402">
        <v>5418810211.7694502</v>
      </c>
    </row>
    <row r="595" spans="1:2" ht="12.9" x14ac:dyDescent="0.35">
      <c r="A595" s="401">
        <v>40414</v>
      </c>
      <c r="B595" s="402">
        <v>5469691058.8283195</v>
      </c>
    </row>
    <row r="596" spans="1:2" ht="12.9" x14ac:dyDescent="0.35">
      <c r="A596" s="401">
        <v>40415</v>
      </c>
      <c r="B596" s="402">
        <v>5495131482.3577604</v>
      </c>
    </row>
    <row r="597" spans="1:2" ht="12.9" x14ac:dyDescent="0.35">
      <c r="A597" s="401">
        <v>40416</v>
      </c>
      <c r="B597" s="402">
        <v>5342488941.1811504</v>
      </c>
    </row>
    <row r="598" spans="1:2" ht="12.9" x14ac:dyDescent="0.35">
      <c r="A598" s="401">
        <v>40417</v>
      </c>
      <c r="B598" s="402">
        <v>5299073830.96661</v>
      </c>
    </row>
    <row r="599" spans="1:2" ht="12.9" x14ac:dyDescent="0.35">
      <c r="A599" s="401">
        <v>40418</v>
      </c>
      <c r="B599" s="402">
        <v>5268085095.1129999</v>
      </c>
    </row>
    <row r="600" spans="1:2" ht="12.9" x14ac:dyDescent="0.35">
      <c r="A600" s="401">
        <v>40419</v>
      </c>
      <c r="B600" s="402">
        <v>5020175208.2841597</v>
      </c>
    </row>
    <row r="601" spans="1:2" ht="12.9" x14ac:dyDescent="0.35">
      <c r="A601" s="401">
        <v>40420</v>
      </c>
      <c r="B601" s="402">
        <v>4617321642.1872797</v>
      </c>
    </row>
    <row r="602" spans="1:2" ht="12.9" x14ac:dyDescent="0.35">
      <c r="A602" s="401">
        <v>40421</v>
      </c>
      <c r="B602" s="402">
        <v>5701927397.0634899</v>
      </c>
    </row>
    <row r="603" spans="1:2" ht="12.9" x14ac:dyDescent="0.35">
      <c r="A603" s="401">
        <v>40422</v>
      </c>
      <c r="B603" s="402">
        <v>4865231529.0161304</v>
      </c>
    </row>
    <row r="604" spans="1:2" ht="12.9" x14ac:dyDescent="0.35">
      <c r="A604" s="401">
        <v>40423</v>
      </c>
      <c r="B604" s="402">
        <v>4834242793.1625204</v>
      </c>
    </row>
    <row r="605" spans="1:2" ht="12.9" x14ac:dyDescent="0.35">
      <c r="A605" s="401">
        <v>40424</v>
      </c>
      <c r="B605" s="402">
        <v>5082152679.9913702</v>
      </c>
    </row>
    <row r="606" spans="1:2" ht="12.9" x14ac:dyDescent="0.35">
      <c r="A606" s="401">
        <v>40425</v>
      </c>
      <c r="B606" s="402">
        <v>5608961189.5026703</v>
      </c>
    </row>
    <row r="607" spans="1:2" ht="12.9" x14ac:dyDescent="0.35">
      <c r="A607" s="401">
        <v>40426</v>
      </c>
      <c r="B607" s="402">
        <v>5113141415.8449697</v>
      </c>
    </row>
    <row r="608" spans="1:2" ht="12.9" x14ac:dyDescent="0.35">
      <c r="A608" s="401">
        <v>40427</v>
      </c>
      <c r="B608" s="402">
        <v>4896220264.86973</v>
      </c>
    </row>
    <row r="609" spans="1:2" ht="12.9" x14ac:dyDescent="0.35">
      <c r="A609" s="401">
        <v>40428</v>
      </c>
      <c r="B609" s="402">
        <v>4958197736.5769396</v>
      </c>
    </row>
    <row r="610" spans="1:2" ht="12.9" x14ac:dyDescent="0.35">
      <c r="A610" s="401">
        <v>40429</v>
      </c>
      <c r="B610" s="402">
        <v>5847221418.2115498</v>
      </c>
    </row>
    <row r="611" spans="1:2" ht="12.9" x14ac:dyDescent="0.35">
      <c r="A611" s="401">
        <v>40430</v>
      </c>
      <c r="B611" s="402">
        <v>4784090251.2639999</v>
      </c>
    </row>
    <row r="612" spans="1:2" ht="12.9" x14ac:dyDescent="0.35">
      <c r="A612" s="401">
        <v>40431</v>
      </c>
      <c r="B612" s="402">
        <v>6272473884.9905701</v>
      </c>
    </row>
    <row r="613" spans="1:2" ht="12.9" x14ac:dyDescent="0.35">
      <c r="A613" s="401">
        <v>40432</v>
      </c>
      <c r="B613" s="402">
        <v>5670032890.38696</v>
      </c>
    </row>
    <row r="614" spans="1:2" ht="12.9" x14ac:dyDescent="0.35">
      <c r="A614" s="401">
        <v>40433</v>
      </c>
      <c r="B614" s="402">
        <v>6272473884.9905701</v>
      </c>
    </row>
    <row r="615" spans="1:2" ht="12.9" x14ac:dyDescent="0.35">
      <c r="A615" s="401">
        <v>40434</v>
      </c>
      <c r="B615" s="402">
        <v>6059847651.6010599</v>
      </c>
    </row>
    <row r="616" spans="1:2" ht="12.9" x14ac:dyDescent="0.35">
      <c r="A616" s="401">
        <v>40435</v>
      </c>
      <c r="B616" s="402">
        <v>7193854229.6784496</v>
      </c>
    </row>
    <row r="617" spans="1:2" ht="12.9" x14ac:dyDescent="0.35">
      <c r="A617" s="401">
        <v>40436</v>
      </c>
      <c r="B617" s="402">
        <v>5988972240.4712296</v>
      </c>
    </row>
    <row r="618" spans="1:2" ht="12.9" x14ac:dyDescent="0.35">
      <c r="A618" s="401">
        <v>40437</v>
      </c>
      <c r="B618" s="402">
        <v>7760857518.7171497</v>
      </c>
    </row>
    <row r="619" spans="1:2" ht="12.9" x14ac:dyDescent="0.35">
      <c r="A619" s="401">
        <v>40438</v>
      </c>
      <c r="B619" s="402">
        <v>7371042757.5030499</v>
      </c>
    </row>
    <row r="620" spans="1:2" ht="12.9" x14ac:dyDescent="0.35">
      <c r="A620" s="401">
        <v>40439</v>
      </c>
      <c r="B620" s="402">
        <v>8398736218.8856802</v>
      </c>
    </row>
    <row r="621" spans="1:2" ht="12.9" x14ac:dyDescent="0.35">
      <c r="A621" s="401">
        <v>40440</v>
      </c>
      <c r="B621" s="402">
        <v>9535755935.2464104</v>
      </c>
    </row>
    <row r="622" spans="1:2" ht="12.9" x14ac:dyDescent="0.35">
      <c r="A622" s="401">
        <v>40441</v>
      </c>
      <c r="B622" s="402">
        <v>9262002176.3398094</v>
      </c>
    </row>
    <row r="623" spans="1:2" ht="12.9" x14ac:dyDescent="0.35">
      <c r="A623" s="401">
        <v>40442</v>
      </c>
      <c r="B623" s="402">
        <v>7847607755.3224001</v>
      </c>
    </row>
    <row r="624" spans="1:2" ht="12.9" x14ac:dyDescent="0.35">
      <c r="A624" s="401">
        <v>40443</v>
      </c>
      <c r="B624" s="402">
        <v>7938859008.2912703</v>
      </c>
    </row>
    <row r="625" spans="1:2" ht="12.9" x14ac:dyDescent="0.35">
      <c r="A625" s="401">
        <v>40444</v>
      </c>
      <c r="B625" s="402">
        <v>10676396597.357201</v>
      </c>
    </row>
    <row r="626" spans="1:2" ht="12.9" x14ac:dyDescent="0.35">
      <c r="A626" s="401">
        <v>40445</v>
      </c>
      <c r="B626" s="402">
        <v>10402642838.4506</v>
      </c>
    </row>
    <row r="627" spans="1:2" ht="12.9" x14ac:dyDescent="0.35">
      <c r="A627" s="401">
        <v>40446</v>
      </c>
      <c r="B627" s="402">
        <v>9444504682.2775402</v>
      </c>
    </row>
    <row r="628" spans="1:2" ht="12.9" x14ac:dyDescent="0.35">
      <c r="A628" s="401">
        <v>40447</v>
      </c>
      <c r="B628" s="402">
        <v>9353253429.3086796</v>
      </c>
    </row>
    <row r="629" spans="1:2" ht="12.9" x14ac:dyDescent="0.35">
      <c r="A629" s="401">
        <v>40448</v>
      </c>
      <c r="B629" s="402">
        <v>10448268464.934999</v>
      </c>
    </row>
    <row r="630" spans="1:2" ht="12.9" x14ac:dyDescent="0.35">
      <c r="A630" s="401">
        <v>40449</v>
      </c>
      <c r="B630" s="402">
        <v>9672632814.6996994</v>
      </c>
    </row>
    <row r="631" spans="1:2" ht="12.9" x14ac:dyDescent="0.35">
      <c r="A631" s="401">
        <v>40450</v>
      </c>
      <c r="B631" s="402">
        <v>10750436365.410601</v>
      </c>
    </row>
    <row r="632" spans="1:2" ht="12.9" x14ac:dyDescent="0.35">
      <c r="A632" s="401">
        <v>40451</v>
      </c>
      <c r="B632" s="402">
        <v>9570510422.8655396</v>
      </c>
    </row>
    <row r="633" spans="1:2" ht="12.9" x14ac:dyDescent="0.35">
      <c r="A633" s="401">
        <v>40452</v>
      </c>
      <c r="B633" s="402">
        <v>10094921952.8855</v>
      </c>
    </row>
    <row r="634" spans="1:2" ht="12.9" x14ac:dyDescent="0.35">
      <c r="A634" s="401">
        <v>40453</v>
      </c>
      <c r="B634" s="402">
        <v>6555144125.25037</v>
      </c>
    </row>
    <row r="635" spans="1:2" ht="12.9" x14ac:dyDescent="0.35">
      <c r="A635" s="401">
        <v>40454</v>
      </c>
      <c r="B635" s="402">
        <v>7997275832.8054504</v>
      </c>
    </row>
    <row r="636" spans="1:2" ht="12.9" x14ac:dyDescent="0.35">
      <c r="A636" s="401">
        <v>40455</v>
      </c>
      <c r="B636" s="402">
        <v>10029370511.632999</v>
      </c>
    </row>
    <row r="637" spans="1:2" ht="12.9" x14ac:dyDescent="0.35">
      <c r="A637" s="401">
        <v>40456</v>
      </c>
      <c r="B637" s="402">
        <v>8259481597.8154602</v>
      </c>
    </row>
    <row r="638" spans="1:2" ht="12.9" x14ac:dyDescent="0.35">
      <c r="A638" s="401">
        <v>40457</v>
      </c>
      <c r="B638" s="402">
        <v>11209296454.178101</v>
      </c>
    </row>
    <row r="639" spans="1:2" ht="12.9" x14ac:dyDescent="0.35">
      <c r="A639" s="401">
        <v>40458</v>
      </c>
      <c r="B639" s="402">
        <v>10488230600.400499</v>
      </c>
    </row>
    <row r="640" spans="1:2" ht="12.9" x14ac:dyDescent="0.35">
      <c r="A640" s="401">
        <v>40459</v>
      </c>
      <c r="B640" s="402">
        <v>10094921952.8855</v>
      </c>
    </row>
    <row r="641" spans="1:2" ht="12.9" x14ac:dyDescent="0.35">
      <c r="A641" s="401">
        <v>40460</v>
      </c>
      <c r="B641" s="402">
        <v>10357127717.8955</v>
      </c>
    </row>
    <row r="642" spans="1:2" ht="12.9" x14ac:dyDescent="0.35">
      <c r="A642" s="401">
        <v>40461</v>
      </c>
      <c r="B642" s="402">
        <v>11668156542.945601</v>
      </c>
    </row>
    <row r="643" spans="1:2" ht="12.9" x14ac:dyDescent="0.35">
      <c r="A643" s="401">
        <v>40462</v>
      </c>
      <c r="B643" s="402">
        <v>10422679159.148001</v>
      </c>
    </row>
    <row r="644" spans="1:2" ht="12.9" x14ac:dyDescent="0.35">
      <c r="A644" s="401">
        <v>40463</v>
      </c>
      <c r="B644" s="402">
        <v>10617832232.762699</v>
      </c>
    </row>
    <row r="645" spans="1:2" ht="12.9" x14ac:dyDescent="0.35">
      <c r="A645" s="401">
        <v>40464</v>
      </c>
      <c r="B645" s="402">
        <v>12056377244.943501</v>
      </c>
    </row>
    <row r="646" spans="1:2" ht="12.9" x14ac:dyDescent="0.35">
      <c r="A646" s="401">
        <v>40465</v>
      </c>
      <c r="B646" s="402">
        <v>14042939404.6217</v>
      </c>
    </row>
    <row r="647" spans="1:2" ht="12.9" x14ac:dyDescent="0.35">
      <c r="A647" s="401">
        <v>40466</v>
      </c>
      <c r="B647" s="402">
        <v>12124879388.380699</v>
      </c>
    </row>
    <row r="648" spans="1:2" ht="12.9" x14ac:dyDescent="0.35">
      <c r="A648" s="401">
        <v>40467</v>
      </c>
      <c r="B648" s="402">
        <v>17673553006.792198</v>
      </c>
    </row>
    <row r="649" spans="1:2" ht="12.9" x14ac:dyDescent="0.35">
      <c r="A649" s="401">
        <v>40468</v>
      </c>
      <c r="B649" s="402">
        <v>18495578728.038399</v>
      </c>
    </row>
    <row r="650" spans="1:2" ht="12.9" x14ac:dyDescent="0.35">
      <c r="A650" s="401">
        <v>40469</v>
      </c>
      <c r="B650" s="402">
        <v>17057033715.857599</v>
      </c>
    </row>
    <row r="651" spans="1:2" ht="12.9" x14ac:dyDescent="0.35">
      <c r="A651" s="401">
        <v>40470</v>
      </c>
      <c r="B651" s="402">
        <v>17536548719.917801</v>
      </c>
    </row>
    <row r="652" spans="1:2" ht="12.9" x14ac:dyDescent="0.35">
      <c r="A652" s="401">
        <v>40471</v>
      </c>
      <c r="B652" s="402">
        <v>18084565867.415298</v>
      </c>
    </row>
    <row r="653" spans="1:2" ht="12.9" x14ac:dyDescent="0.35">
      <c r="A653" s="401">
        <v>40472</v>
      </c>
      <c r="B653" s="402">
        <v>19870094129.161098</v>
      </c>
    </row>
    <row r="654" spans="1:2" ht="12.9" x14ac:dyDescent="0.35">
      <c r="A654" s="401">
        <v>40473</v>
      </c>
      <c r="B654" s="402">
        <v>16451583311.2409</v>
      </c>
    </row>
    <row r="655" spans="1:2" ht="12.9" x14ac:dyDescent="0.35">
      <c r="A655" s="401">
        <v>40474</v>
      </c>
      <c r="B655" s="402">
        <v>18694981035.500999</v>
      </c>
    </row>
    <row r="656" spans="1:2" ht="12.9" x14ac:dyDescent="0.35">
      <c r="A656" s="401">
        <v>40475</v>
      </c>
      <c r="B656" s="402">
        <v>21899834927.301201</v>
      </c>
    </row>
    <row r="657" spans="1:2" ht="12.9" x14ac:dyDescent="0.35">
      <c r="A657" s="401">
        <v>40476</v>
      </c>
      <c r="B657" s="402">
        <v>21686178001.181198</v>
      </c>
    </row>
    <row r="658" spans="1:2" ht="12.9" x14ac:dyDescent="0.35">
      <c r="A658" s="401">
        <v>40477</v>
      </c>
      <c r="B658" s="402">
        <v>25745659597.461399</v>
      </c>
    </row>
    <row r="659" spans="1:2" ht="12.9" x14ac:dyDescent="0.35">
      <c r="A659" s="401">
        <v>40478</v>
      </c>
      <c r="B659" s="402">
        <v>22754462631.7812</v>
      </c>
    </row>
    <row r="660" spans="1:2" ht="12.9" x14ac:dyDescent="0.35">
      <c r="A660" s="401">
        <v>40479</v>
      </c>
      <c r="B660" s="402">
        <v>23395433410.141201</v>
      </c>
    </row>
    <row r="661" spans="1:2" ht="12.9" x14ac:dyDescent="0.35">
      <c r="A661" s="401">
        <v>40480</v>
      </c>
      <c r="B661" s="402">
        <v>23822747262.381302</v>
      </c>
    </row>
    <row r="662" spans="1:2" ht="12.9" x14ac:dyDescent="0.35">
      <c r="A662" s="401">
        <v>40481</v>
      </c>
      <c r="B662" s="402">
        <v>26920772691.121399</v>
      </c>
    </row>
    <row r="663" spans="1:2" ht="12.9" x14ac:dyDescent="0.35">
      <c r="A663" s="401">
        <v>40482</v>
      </c>
      <c r="B663" s="402">
        <v>27510703301.0084</v>
      </c>
    </row>
    <row r="664" spans="1:2" ht="12.9" x14ac:dyDescent="0.35">
      <c r="A664" s="401">
        <v>40483</v>
      </c>
      <c r="B664" s="402">
        <v>27203321141.2206</v>
      </c>
    </row>
    <row r="665" spans="1:2" ht="12.9" x14ac:dyDescent="0.35">
      <c r="A665" s="401">
        <v>40484</v>
      </c>
      <c r="B665" s="402">
        <v>27049630061.326698</v>
      </c>
    </row>
    <row r="666" spans="1:2" ht="12.9" x14ac:dyDescent="0.35">
      <c r="A666" s="401">
        <v>40485</v>
      </c>
      <c r="B666" s="402">
        <v>29201305179.8414</v>
      </c>
    </row>
    <row r="667" spans="1:2" ht="12.9" x14ac:dyDescent="0.35">
      <c r="A667" s="401">
        <v>40486</v>
      </c>
      <c r="B667" s="402">
        <v>30891907058.674301</v>
      </c>
    </row>
    <row r="668" spans="1:2" ht="12.9" x14ac:dyDescent="0.35">
      <c r="A668" s="401">
        <v>40487</v>
      </c>
      <c r="B668" s="402">
        <v>33658346496.7645</v>
      </c>
    </row>
    <row r="669" spans="1:2" ht="12.9" x14ac:dyDescent="0.35">
      <c r="A669" s="401">
        <v>40488</v>
      </c>
      <c r="B669" s="402">
        <v>33504655416.870602</v>
      </c>
    </row>
    <row r="670" spans="1:2" ht="12.9" x14ac:dyDescent="0.35">
      <c r="A670" s="401">
        <v>40489</v>
      </c>
      <c r="B670" s="402">
        <v>37039550254.430397</v>
      </c>
    </row>
    <row r="671" spans="1:2" ht="12.9" x14ac:dyDescent="0.35">
      <c r="A671" s="401">
        <v>40490</v>
      </c>
      <c r="B671" s="402">
        <v>42265046970.823097</v>
      </c>
    </row>
    <row r="672" spans="1:2" ht="12.9" x14ac:dyDescent="0.35">
      <c r="A672" s="401">
        <v>40491</v>
      </c>
      <c r="B672" s="402">
        <v>33350964336.9767</v>
      </c>
    </row>
    <row r="673" spans="1:2" ht="12.9" x14ac:dyDescent="0.35">
      <c r="A673" s="401">
        <v>40492</v>
      </c>
      <c r="B673" s="402">
        <v>45777186236.516098</v>
      </c>
    </row>
    <row r="674" spans="1:2" ht="12.9" x14ac:dyDescent="0.35">
      <c r="A674" s="401">
        <v>40493</v>
      </c>
      <c r="B674" s="402">
        <v>49385240324.123299</v>
      </c>
    </row>
    <row r="675" spans="1:2" ht="12.9" x14ac:dyDescent="0.35">
      <c r="A675" s="401">
        <v>40494</v>
      </c>
      <c r="B675" s="402">
        <v>38110071300.3508</v>
      </c>
    </row>
    <row r="676" spans="1:2" ht="12.9" x14ac:dyDescent="0.35">
      <c r="A676" s="401">
        <v>40495</v>
      </c>
      <c r="B676" s="402">
        <v>50287253846.025101</v>
      </c>
    </row>
    <row r="677" spans="1:2" ht="12.9" x14ac:dyDescent="0.35">
      <c r="A677" s="401">
        <v>40496</v>
      </c>
      <c r="B677" s="402">
        <v>57728865401.714897</v>
      </c>
    </row>
    <row r="678" spans="1:2" ht="12.9" x14ac:dyDescent="0.35">
      <c r="A678" s="401">
        <v>40497</v>
      </c>
      <c r="B678" s="402">
        <v>45100676095.089699</v>
      </c>
    </row>
    <row r="679" spans="1:2" ht="12.9" x14ac:dyDescent="0.35">
      <c r="A679" s="401">
        <v>40498</v>
      </c>
      <c r="B679" s="402">
        <v>44424165953.663399</v>
      </c>
    </row>
    <row r="680" spans="1:2" ht="12.9" x14ac:dyDescent="0.35">
      <c r="A680" s="401">
        <v>40499</v>
      </c>
      <c r="B680" s="402">
        <v>55699334977.435799</v>
      </c>
    </row>
    <row r="681" spans="1:2" ht="12.9" x14ac:dyDescent="0.35">
      <c r="A681" s="401">
        <v>40500</v>
      </c>
      <c r="B681" s="402">
        <v>57954368782.1903</v>
      </c>
    </row>
    <row r="682" spans="1:2" ht="12.9" x14ac:dyDescent="0.35">
      <c r="A682" s="401">
        <v>40501</v>
      </c>
      <c r="B682" s="402">
        <v>51203310121.4151</v>
      </c>
    </row>
    <row r="683" spans="1:2" ht="12.9" x14ac:dyDescent="0.35">
      <c r="A683" s="401">
        <v>40502</v>
      </c>
      <c r="B683" s="402">
        <v>39597226493.894302</v>
      </c>
    </row>
    <row r="684" spans="1:2" ht="12.9" x14ac:dyDescent="0.35">
      <c r="A684" s="401">
        <v>40503</v>
      </c>
      <c r="B684" s="402">
        <v>47789756113.320702</v>
      </c>
    </row>
    <row r="685" spans="1:2" ht="12.9" x14ac:dyDescent="0.35">
      <c r="A685" s="401">
        <v>40504</v>
      </c>
      <c r="B685" s="402">
        <v>55640930331.937698</v>
      </c>
    </row>
    <row r="686" spans="1:2" ht="12.9" x14ac:dyDescent="0.35">
      <c r="A686" s="401">
        <v>40505</v>
      </c>
      <c r="B686" s="402">
        <v>47789756113.320702</v>
      </c>
    </row>
    <row r="687" spans="1:2" ht="12.9" x14ac:dyDescent="0.35">
      <c r="A687" s="401">
        <v>40506</v>
      </c>
      <c r="B687" s="402">
        <v>60419905943.269798</v>
      </c>
    </row>
    <row r="688" spans="1:2" ht="12.9" x14ac:dyDescent="0.35">
      <c r="A688" s="401">
        <v>40507</v>
      </c>
      <c r="B688" s="402">
        <v>61785327546.5075</v>
      </c>
    </row>
    <row r="689" spans="1:2" ht="12.9" x14ac:dyDescent="0.35">
      <c r="A689" s="401">
        <v>40508</v>
      </c>
      <c r="B689" s="402">
        <v>66222947757.030197</v>
      </c>
    </row>
    <row r="690" spans="1:2" ht="12.9" x14ac:dyDescent="0.35">
      <c r="A690" s="401">
        <v>40509</v>
      </c>
      <c r="B690" s="402">
        <v>61443972145.698097</v>
      </c>
    </row>
    <row r="691" spans="1:2" ht="12.9" x14ac:dyDescent="0.35">
      <c r="A691" s="401">
        <v>40510</v>
      </c>
      <c r="B691" s="402">
        <v>58713128939.222603</v>
      </c>
    </row>
    <row r="692" spans="1:2" ht="12.9" x14ac:dyDescent="0.35">
      <c r="A692" s="401">
        <v>40511</v>
      </c>
      <c r="B692" s="402">
        <v>71343278769.171707</v>
      </c>
    </row>
    <row r="693" spans="1:2" ht="12.9" x14ac:dyDescent="0.35">
      <c r="A693" s="401">
        <v>40512</v>
      </c>
      <c r="B693" s="402">
        <v>68953790963.5056</v>
      </c>
    </row>
    <row r="694" spans="1:2" ht="12.9" x14ac:dyDescent="0.35">
      <c r="A694" s="401">
        <v>40513</v>
      </c>
      <c r="B694" s="402">
        <v>75495019295.296402</v>
      </c>
    </row>
    <row r="695" spans="1:2" ht="12.9" x14ac:dyDescent="0.35">
      <c r="A695" s="401">
        <v>40514</v>
      </c>
      <c r="B695" s="402">
        <v>75495019295.296402</v>
      </c>
    </row>
    <row r="696" spans="1:2" ht="12.9" x14ac:dyDescent="0.35">
      <c r="A696" s="401">
        <v>40515</v>
      </c>
      <c r="B696" s="402">
        <v>75896588546.867096</v>
      </c>
    </row>
    <row r="697" spans="1:2" ht="12.9" x14ac:dyDescent="0.35">
      <c r="A697" s="401">
        <v>40516</v>
      </c>
      <c r="B697" s="402">
        <v>91959358609.696198</v>
      </c>
    </row>
    <row r="698" spans="1:2" ht="12.9" x14ac:dyDescent="0.35">
      <c r="A698" s="401">
        <v>40517</v>
      </c>
      <c r="B698" s="402">
        <v>95975051125.403397</v>
      </c>
    </row>
    <row r="699" spans="1:2" ht="12.9" x14ac:dyDescent="0.35">
      <c r="A699" s="401">
        <v>40518</v>
      </c>
      <c r="B699" s="402">
        <v>96778189628.544907</v>
      </c>
    </row>
    <row r="700" spans="1:2" ht="12.9" x14ac:dyDescent="0.35">
      <c r="A700" s="401">
        <v>40519</v>
      </c>
      <c r="B700" s="402">
        <v>95975051125.403397</v>
      </c>
    </row>
    <row r="701" spans="1:2" ht="12.9" x14ac:dyDescent="0.35">
      <c r="A701" s="401">
        <v>40520</v>
      </c>
      <c r="B701" s="402">
        <v>95573481873.832703</v>
      </c>
    </row>
    <row r="702" spans="1:2" ht="12.9" x14ac:dyDescent="0.35">
      <c r="A702" s="401">
        <v>40521</v>
      </c>
      <c r="B702" s="402">
        <v>89549943100.271805</v>
      </c>
    </row>
    <row r="703" spans="1:2" ht="12.9" x14ac:dyDescent="0.35">
      <c r="A703" s="401">
        <v>40522</v>
      </c>
      <c r="B703" s="402">
        <v>89530382854.826599</v>
      </c>
    </row>
    <row r="704" spans="1:2" ht="12.9" x14ac:dyDescent="0.35">
      <c r="A704" s="401">
        <v>40523</v>
      </c>
      <c r="B704" s="402">
        <v>106583789112.888</v>
      </c>
    </row>
    <row r="705" spans="1:2" ht="12.9" x14ac:dyDescent="0.35">
      <c r="A705" s="401">
        <v>40524</v>
      </c>
      <c r="B705" s="402">
        <v>104147588218.88</v>
      </c>
    </row>
    <row r="706" spans="1:2" ht="12.9" x14ac:dyDescent="0.35">
      <c r="A706" s="401">
        <v>40525</v>
      </c>
      <c r="B706" s="402">
        <v>85876081513.813293</v>
      </c>
    </row>
    <row r="707" spans="1:2" ht="12.9" x14ac:dyDescent="0.35">
      <c r="A707" s="401">
        <v>40526</v>
      </c>
      <c r="B707" s="402">
        <v>104147588218.88</v>
      </c>
    </row>
    <row r="708" spans="1:2" ht="12.9" x14ac:dyDescent="0.35">
      <c r="A708" s="401">
        <v>40527</v>
      </c>
      <c r="B708" s="402">
        <v>119373843806.435</v>
      </c>
    </row>
    <row r="709" spans="1:2" ht="12.9" x14ac:dyDescent="0.35">
      <c r="A709" s="401">
        <v>40528</v>
      </c>
      <c r="B709" s="402">
        <v>105365688665.884</v>
      </c>
    </row>
    <row r="710" spans="1:2" ht="12.9" x14ac:dyDescent="0.35">
      <c r="A710" s="401">
        <v>40529</v>
      </c>
      <c r="B710" s="402">
        <v>101102337101.368</v>
      </c>
    </row>
    <row r="711" spans="1:2" ht="12.9" x14ac:dyDescent="0.35">
      <c r="A711" s="401">
        <v>40530</v>
      </c>
      <c r="B711" s="402">
        <v>98057085983.857697</v>
      </c>
    </row>
    <row r="712" spans="1:2" ht="12.9" x14ac:dyDescent="0.35">
      <c r="A712" s="401">
        <v>40531</v>
      </c>
      <c r="B712" s="402">
        <v>112065241124.408</v>
      </c>
    </row>
    <row r="713" spans="1:2" ht="12.9" x14ac:dyDescent="0.35">
      <c r="A713" s="401">
        <v>40532</v>
      </c>
      <c r="B713" s="402">
        <v>96838985536.853302</v>
      </c>
    </row>
    <row r="714" spans="1:2" ht="12.9" x14ac:dyDescent="0.35">
      <c r="A714" s="401">
        <v>40533</v>
      </c>
      <c r="B714" s="402">
        <v>119373843806.435</v>
      </c>
    </row>
    <row r="715" spans="1:2" ht="12.9" x14ac:dyDescent="0.35">
      <c r="A715" s="401">
        <v>40534</v>
      </c>
      <c r="B715" s="402">
        <v>113041820945.53999</v>
      </c>
    </row>
    <row r="716" spans="1:2" ht="12.9" x14ac:dyDescent="0.35">
      <c r="A716" s="401">
        <v>40535</v>
      </c>
      <c r="B716" s="402">
        <v>104401681764.989</v>
      </c>
    </row>
    <row r="717" spans="1:2" ht="12.9" x14ac:dyDescent="0.35">
      <c r="A717" s="401">
        <v>40536</v>
      </c>
      <c r="B717" s="402">
        <v>106561716560.12601</v>
      </c>
    </row>
    <row r="718" spans="1:2" ht="12.9" x14ac:dyDescent="0.35">
      <c r="A718" s="401">
        <v>40537</v>
      </c>
      <c r="B718" s="402">
        <v>120961948527.711</v>
      </c>
    </row>
    <row r="719" spans="1:2" ht="12.9" x14ac:dyDescent="0.35">
      <c r="A719" s="401">
        <v>40538</v>
      </c>
      <c r="B719" s="402">
        <v>104401681764.989</v>
      </c>
    </row>
    <row r="720" spans="1:2" ht="12.9" x14ac:dyDescent="0.35">
      <c r="A720" s="401">
        <v>40539</v>
      </c>
      <c r="B720" s="402">
        <v>119521925330.953</v>
      </c>
    </row>
    <row r="721" spans="1:2" ht="12.9" x14ac:dyDescent="0.35">
      <c r="A721" s="401">
        <v>40540</v>
      </c>
      <c r="B721" s="402">
        <v>121681960126.09</v>
      </c>
    </row>
    <row r="722" spans="1:2" ht="12.9" x14ac:dyDescent="0.35">
      <c r="A722" s="401">
        <v>40541</v>
      </c>
      <c r="B722" s="402">
        <v>118801913732.573</v>
      </c>
    </row>
    <row r="723" spans="1:2" ht="12.9" x14ac:dyDescent="0.35">
      <c r="A723" s="401">
        <v>40542</v>
      </c>
      <c r="B723" s="402">
        <v>121681960126.09</v>
      </c>
    </row>
    <row r="724" spans="1:2" ht="12.9" x14ac:dyDescent="0.35">
      <c r="A724" s="401">
        <v>40543</v>
      </c>
      <c r="B724" s="402">
        <v>116641878937.436</v>
      </c>
    </row>
    <row r="725" spans="1:2" ht="12.9" x14ac:dyDescent="0.35">
      <c r="A725" s="401">
        <v>40544</v>
      </c>
      <c r="B725" s="402">
        <v>130322099306.64101</v>
      </c>
    </row>
    <row r="726" spans="1:2" ht="12.9" x14ac:dyDescent="0.35">
      <c r="A726" s="401">
        <v>40545</v>
      </c>
      <c r="B726" s="402">
        <v>126002029716.366</v>
      </c>
    </row>
    <row r="727" spans="1:2" ht="12.9" x14ac:dyDescent="0.35">
      <c r="A727" s="401">
        <v>40546</v>
      </c>
      <c r="B727" s="402">
        <v>126460822000.325</v>
      </c>
    </row>
    <row r="728" spans="1:2" ht="12.9" x14ac:dyDescent="0.35">
      <c r="A728" s="401">
        <v>40547</v>
      </c>
      <c r="B728" s="402">
        <v>114301127577.217</v>
      </c>
    </row>
    <row r="729" spans="1:2" ht="12.9" x14ac:dyDescent="0.35">
      <c r="A729" s="401">
        <v>40548</v>
      </c>
      <c r="B729" s="402">
        <v>124839529410.578</v>
      </c>
    </row>
    <row r="730" spans="1:2" ht="12.9" x14ac:dyDescent="0.35">
      <c r="A730" s="401">
        <v>40549</v>
      </c>
      <c r="B730" s="402">
        <v>114301127577.217</v>
      </c>
    </row>
    <row r="731" spans="1:2" ht="12.9" x14ac:dyDescent="0.35">
      <c r="A731" s="401">
        <v>40550</v>
      </c>
      <c r="B731" s="402">
        <v>132945992359.317</v>
      </c>
    </row>
    <row r="732" spans="1:2" ht="12.9" x14ac:dyDescent="0.35">
      <c r="A732" s="401">
        <v>40551</v>
      </c>
      <c r="B732" s="402">
        <v>137809870128.56</v>
      </c>
    </row>
    <row r="733" spans="1:2" ht="12.9" x14ac:dyDescent="0.35">
      <c r="A733" s="401">
        <v>40552</v>
      </c>
      <c r="B733" s="402">
        <v>132135346064.44299</v>
      </c>
    </row>
    <row r="734" spans="1:2" ht="12.9" x14ac:dyDescent="0.35">
      <c r="A734" s="401">
        <v>40553</v>
      </c>
      <c r="B734" s="402">
        <v>131324699769.569</v>
      </c>
    </row>
    <row r="735" spans="1:2" ht="12.9" x14ac:dyDescent="0.35">
      <c r="A735" s="401">
        <v>40554</v>
      </c>
      <c r="B735" s="402">
        <v>139431162718.30801</v>
      </c>
    </row>
    <row r="736" spans="1:2" ht="12.9" x14ac:dyDescent="0.35">
      <c r="A736" s="401">
        <v>40555</v>
      </c>
      <c r="B736" s="402">
        <v>135377931243.938</v>
      </c>
    </row>
    <row r="737" spans="1:2" ht="12.9" x14ac:dyDescent="0.35">
      <c r="A737" s="401">
        <v>40556</v>
      </c>
      <c r="B737" s="402">
        <v>152401503436.29001</v>
      </c>
    </row>
    <row r="738" spans="1:2" ht="12.9" x14ac:dyDescent="0.35">
      <c r="A738" s="401">
        <v>40557</v>
      </c>
      <c r="B738" s="402">
        <v>146726979372.173</v>
      </c>
    </row>
    <row r="739" spans="1:2" ht="12.9" x14ac:dyDescent="0.35">
      <c r="A739" s="401">
        <v>40558</v>
      </c>
      <c r="B739" s="402">
        <v>127271468295.19901</v>
      </c>
    </row>
    <row r="740" spans="1:2" ht="12.9" x14ac:dyDescent="0.35">
      <c r="A740" s="401">
        <v>40559</v>
      </c>
      <c r="B740" s="402">
        <v>159478004296.07101</v>
      </c>
    </row>
    <row r="741" spans="1:2" ht="12.9" x14ac:dyDescent="0.35">
      <c r="A741" s="401">
        <v>40560</v>
      </c>
      <c r="B741" s="402">
        <v>165893786078.09698</v>
      </c>
    </row>
    <row r="742" spans="1:2" ht="12.9" x14ac:dyDescent="0.35">
      <c r="A742" s="401">
        <v>40561</v>
      </c>
      <c r="B742" s="402">
        <v>129232175895.092</v>
      </c>
    </row>
    <row r="743" spans="1:2" ht="12.9" x14ac:dyDescent="0.35">
      <c r="A743" s="401">
        <v>40562</v>
      </c>
      <c r="B743" s="402">
        <v>154895303023.19501</v>
      </c>
    </row>
    <row r="744" spans="1:2" ht="12.9" x14ac:dyDescent="0.35">
      <c r="A744" s="401">
        <v>40563</v>
      </c>
      <c r="B744" s="402">
        <v>170476487350.97198</v>
      </c>
    </row>
    <row r="745" spans="1:2" ht="12.9" x14ac:dyDescent="0.35">
      <c r="A745" s="401">
        <v>40564</v>
      </c>
      <c r="B745" s="402">
        <v>159478004296.07101</v>
      </c>
    </row>
    <row r="746" spans="1:2" ht="12.9" x14ac:dyDescent="0.35">
      <c r="A746" s="401">
        <v>40565</v>
      </c>
      <c r="B746" s="402">
        <v>151229142004.89499</v>
      </c>
    </row>
    <row r="747" spans="1:2" ht="12.9" x14ac:dyDescent="0.35">
      <c r="A747" s="401">
        <v>40566</v>
      </c>
      <c r="B747" s="402">
        <v>155811843277.76999</v>
      </c>
    </row>
    <row r="748" spans="1:2" ht="12.9" x14ac:dyDescent="0.35">
      <c r="A748" s="401">
        <v>40567</v>
      </c>
      <c r="B748" s="402">
        <v>172309567860.12299</v>
      </c>
    </row>
    <row r="749" spans="1:2" ht="12.9" x14ac:dyDescent="0.35">
      <c r="A749" s="401">
        <v>40568</v>
      </c>
      <c r="B749" s="402">
        <v>142980279713.71899</v>
      </c>
    </row>
    <row r="750" spans="1:2" ht="12.9" x14ac:dyDescent="0.35">
      <c r="A750" s="401">
        <v>40569</v>
      </c>
      <c r="B750" s="402">
        <v>164977245823.522</v>
      </c>
    </row>
    <row r="751" spans="1:2" ht="12.9" x14ac:dyDescent="0.35">
      <c r="A751" s="401">
        <v>40570</v>
      </c>
      <c r="B751" s="402">
        <v>175078623152.021</v>
      </c>
    </row>
    <row r="752" spans="1:2" ht="12.9" x14ac:dyDescent="0.35">
      <c r="A752" s="401">
        <v>40571</v>
      </c>
      <c r="B752" s="402">
        <v>172890140362.621</v>
      </c>
    </row>
    <row r="753" spans="1:2" ht="12.9" x14ac:dyDescent="0.35">
      <c r="A753" s="401">
        <v>40572</v>
      </c>
      <c r="B753" s="402">
        <v>176172864546.72198</v>
      </c>
    </row>
    <row r="754" spans="1:2" ht="12.9" x14ac:dyDescent="0.35">
      <c r="A754" s="401">
        <v>40573</v>
      </c>
      <c r="B754" s="402">
        <v>170701657573.22101</v>
      </c>
    </row>
    <row r="755" spans="1:2" ht="12.9" x14ac:dyDescent="0.35">
      <c r="A755" s="401">
        <v>40574</v>
      </c>
      <c r="B755" s="402">
        <v>186021037099.02301</v>
      </c>
    </row>
    <row r="756" spans="1:2" ht="12.9" x14ac:dyDescent="0.35">
      <c r="A756" s="401">
        <v>40575</v>
      </c>
      <c r="B756" s="402">
        <v>179455588730.82199</v>
      </c>
    </row>
    <row r="757" spans="1:2" ht="12.9" x14ac:dyDescent="0.35">
      <c r="A757" s="401">
        <v>40576</v>
      </c>
      <c r="B757" s="402">
        <v>172890140362.621</v>
      </c>
    </row>
    <row r="758" spans="1:2" ht="12.9" x14ac:dyDescent="0.35">
      <c r="A758" s="401">
        <v>40577</v>
      </c>
      <c r="B758" s="402">
        <v>175078623152.021</v>
      </c>
    </row>
    <row r="759" spans="1:2" ht="12.9" x14ac:dyDescent="0.35">
      <c r="A759" s="401">
        <v>40578</v>
      </c>
      <c r="B759" s="402">
        <v>212282830571.82599</v>
      </c>
    </row>
    <row r="760" spans="1:2" ht="12.9" x14ac:dyDescent="0.35">
      <c r="A760" s="401">
        <v>40579</v>
      </c>
      <c r="B760" s="402">
        <v>195869209651.32401</v>
      </c>
    </row>
    <row r="761" spans="1:2" ht="12.9" x14ac:dyDescent="0.35">
      <c r="A761" s="401">
        <v>40580</v>
      </c>
      <c r="B761" s="402">
        <v>193680726861.92401</v>
      </c>
    </row>
    <row r="762" spans="1:2" ht="12.9" x14ac:dyDescent="0.35">
      <c r="A762" s="401">
        <v>40581</v>
      </c>
      <c r="B762" s="402">
        <v>222131003124.12701</v>
      </c>
    </row>
    <row r="763" spans="1:2" ht="12.9" x14ac:dyDescent="0.35">
      <c r="A763" s="401">
        <v>40582</v>
      </c>
      <c r="B763" s="402">
        <v>217116752932.59</v>
      </c>
    </row>
    <row r="764" spans="1:2" ht="12.9" x14ac:dyDescent="0.35">
      <c r="A764" s="401">
        <v>40583</v>
      </c>
      <c r="B764" s="402">
        <v>248133431922.961</v>
      </c>
    </row>
    <row r="765" spans="1:2" ht="12.9" x14ac:dyDescent="0.35">
      <c r="A765" s="401">
        <v>40584</v>
      </c>
      <c r="B765" s="402">
        <v>240379262175.36801</v>
      </c>
    </row>
    <row r="766" spans="1:2" ht="12.9" x14ac:dyDescent="0.35">
      <c r="A766" s="401">
        <v>40585</v>
      </c>
      <c r="B766" s="402">
        <v>240379262175.36801</v>
      </c>
    </row>
    <row r="767" spans="1:2" ht="12.9" x14ac:dyDescent="0.35">
      <c r="A767" s="401">
        <v>40586</v>
      </c>
      <c r="B767" s="402">
        <v>253302878421.35599</v>
      </c>
    </row>
    <row r="768" spans="1:2" ht="12.9" x14ac:dyDescent="0.35">
      <c r="A768" s="401">
        <v>40587</v>
      </c>
      <c r="B768" s="402">
        <v>255887601670.55301</v>
      </c>
    </row>
    <row r="769" spans="1:2" ht="12.9" x14ac:dyDescent="0.35">
      <c r="A769" s="401">
        <v>40588</v>
      </c>
      <c r="B769" s="402">
        <v>253302878421.35599</v>
      </c>
    </row>
    <row r="770" spans="1:2" ht="12.9" x14ac:dyDescent="0.35">
      <c r="A770" s="401">
        <v>40589</v>
      </c>
      <c r="B770" s="402">
        <v>290781365534.71997</v>
      </c>
    </row>
    <row r="771" spans="1:2" ht="12.9" x14ac:dyDescent="0.35">
      <c r="A771" s="401">
        <v>40590</v>
      </c>
      <c r="B771" s="402">
        <v>299827896906.91101</v>
      </c>
    </row>
    <row r="772" spans="1:2" ht="12.9" x14ac:dyDescent="0.35">
      <c r="A772" s="401">
        <v>40591</v>
      </c>
      <c r="B772" s="402">
        <v>298535535282.31201</v>
      </c>
    </row>
    <row r="773" spans="1:2" ht="12.9" x14ac:dyDescent="0.35">
      <c r="A773" s="401">
        <v>40592</v>
      </c>
      <c r="B773" s="402">
        <v>384235332448.39502</v>
      </c>
    </row>
    <row r="774" spans="1:2" ht="12.9" x14ac:dyDescent="0.35">
      <c r="A774" s="401">
        <v>40593</v>
      </c>
      <c r="B774" s="402">
        <v>291801360963.16803</v>
      </c>
    </row>
    <row r="775" spans="1:2" ht="12.9" x14ac:dyDescent="0.35">
      <c r="A775" s="401">
        <v>40594</v>
      </c>
      <c r="B775" s="402">
        <v>358861301060.29401</v>
      </c>
    </row>
    <row r="776" spans="1:2" ht="12.9" x14ac:dyDescent="0.35">
      <c r="A776" s="401">
        <v>40595</v>
      </c>
      <c r="B776" s="402">
        <v>351611577806.54999</v>
      </c>
    </row>
    <row r="777" spans="1:2" ht="12.9" x14ac:dyDescent="0.35">
      <c r="A777" s="401">
        <v>40596</v>
      </c>
      <c r="B777" s="402">
        <v>382422901634.95898</v>
      </c>
    </row>
    <row r="778" spans="1:2" ht="12.9" x14ac:dyDescent="0.35">
      <c r="A778" s="401">
        <v>40597</v>
      </c>
      <c r="B778" s="402">
        <v>440420687664.90601</v>
      </c>
    </row>
    <row r="779" spans="1:2" ht="12.9" x14ac:dyDescent="0.35">
      <c r="A779" s="401">
        <v>40598</v>
      </c>
      <c r="B779" s="402">
        <v>375173178381.216</v>
      </c>
    </row>
    <row r="780" spans="1:2" ht="12.9" x14ac:dyDescent="0.35">
      <c r="A780" s="401">
        <v>40599</v>
      </c>
      <c r="B780" s="402">
        <v>407796933023.06097</v>
      </c>
    </row>
    <row r="781" spans="1:2" ht="12.9" x14ac:dyDescent="0.35">
      <c r="A781" s="401">
        <v>40600</v>
      </c>
      <c r="B781" s="402">
        <v>500230904508.28802</v>
      </c>
    </row>
    <row r="782" spans="1:2" ht="12.9" x14ac:dyDescent="0.35">
      <c r="A782" s="401">
        <v>40601</v>
      </c>
      <c r="B782" s="402">
        <v>442233118478.34198</v>
      </c>
    </row>
    <row r="783" spans="1:2" ht="12.9" x14ac:dyDescent="0.35">
      <c r="A783" s="401">
        <v>40602</v>
      </c>
      <c r="B783" s="402">
        <v>414505489254.172</v>
      </c>
    </row>
    <row r="784" spans="1:2" ht="12.9" x14ac:dyDescent="0.35">
      <c r="A784" s="401">
        <v>40603</v>
      </c>
      <c r="B784" s="402">
        <v>359238090686.94897</v>
      </c>
    </row>
    <row r="785" spans="1:2" ht="12.9" x14ac:dyDescent="0.35">
      <c r="A785" s="401">
        <v>40604</v>
      </c>
      <c r="B785" s="402">
        <v>464246147964.67297</v>
      </c>
    </row>
    <row r="786" spans="1:2" ht="12.9" x14ac:dyDescent="0.35">
      <c r="A786" s="401">
        <v>40605</v>
      </c>
      <c r="B786" s="402">
        <v>513986806675.17297</v>
      </c>
    </row>
    <row r="787" spans="1:2" ht="12.9" x14ac:dyDescent="0.35">
      <c r="A787" s="401">
        <v>40606</v>
      </c>
      <c r="B787" s="402">
        <v>610704754167.81396</v>
      </c>
    </row>
    <row r="788" spans="1:2" ht="12.9" x14ac:dyDescent="0.35">
      <c r="A788" s="401">
        <v>40607</v>
      </c>
      <c r="B788" s="402">
        <v>765453470156.03796</v>
      </c>
    </row>
    <row r="789" spans="1:2" ht="12.9" x14ac:dyDescent="0.35">
      <c r="A789" s="401">
        <v>40608</v>
      </c>
      <c r="B789" s="402">
        <v>757163360370.95496</v>
      </c>
    </row>
    <row r="790" spans="1:2" ht="12.9" x14ac:dyDescent="0.35">
      <c r="A790" s="401">
        <v>40609</v>
      </c>
      <c r="B790" s="402">
        <v>583071054884.20203</v>
      </c>
    </row>
    <row r="791" spans="1:2" ht="12.9" x14ac:dyDescent="0.35">
      <c r="A791" s="401">
        <v>40610</v>
      </c>
      <c r="B791" s="402">
        <v>516750176603.534</v>
      </c>
    </row>
    <row r="792" spans="1:2" ht="12.9" x14ac:dyDescent="0.35">
      <c r="A792" s="401">
        <v>40611</v>
      </c>
      <c r="B792" s="402">
        <v>442139188537.78302</v>
      </c>
    </row>
    <row r="793" spans="1:2" ht="12.9" x14ac:dyDescent="0.35">
      <c r="A793" s="401">
        <v>40612</v>
      </c>
      <c r="B793" s="402">
        <v>416631119770.53998</v>
      </c>
    </row>
    <row r="794" spans="1:2" ht="12.9" x14ac:dyDescent="0.35">
      <c r="A794" s="401">
        <v>40613</v>
      </c>
      <c r="B794" s="402">
        <v>492382232456.09302</v>
      </c>
    </row>
    <row r="795" spans="1:2" ht="12.9" x14ac:dyDescent="0.35">
      <c r="A795" s="401">
        <v>40614</v>
      </c>
      <c r="B795" s="402">
        <v>530257788798.86902</v>
      </c>
    </row>
    <row r="796" spans="1:2" ht="12.9" x14ac:dyDescent="0.35">
      <c r="A796" s="401">
        <v>40615</v>
      </c>
      <c r="B796" s="402">
        <v>443144009210.48401</v>
      </c>
    </row>
    <row r="797" spans="1:2" ht="12.9" x14ac:dyDescent="0.35">
      <c r="A797" s="401">
        <v>40616</v>
      </c>
      <c r="B797" s="402">
        <v>424206231039.09497</v>
      </c>
    </row>
    <row r="798" spans="1:2" ht="12.9" x14ac:dyDescent="0.35">
      <c r="A798" s="401">
        <v>40617</v>
      </c>
      <c r="B798" s="402">
        <v>424206231039.09497</v>
      </c>
    </row>
    <row r="799" spans="1:2" ht="12.9" x14ac:dyDescent="0.35">
      <c r="A799" s="401">
        <v>40618</v>
      </c>
      <c r="B799" s="402">
        <v>515107566261.75897</v>
      </c>
    </row>
    <row r="800" spans="1:2" ht="12.9" x14ac:dyDescent="0.35">
      <c r="A800" s="401">
        <v>40619</v>
      </c>
      <c r="B800" s="402">
        <v>534045344433.14697</v>
      </c>
    </row>
    <row r="801" spans="1:2" ht="12.9" x14ac:dyDescent="0.35">
      <c r="A801" s="401">
        <v>40620</v>
      </c>
      <c r="B801" s="402">
        <v>454506676113.31702</v>
      </c>
    </row>
    <row r="802" spans="1:2" ht="12.9" x14ac:dyDescent="0.35">
      <c r="A802" s="401">
        <v>40621</v>
      </c>
      <c r="B802" s="402">
        <v>435568897941.92798</v>
      </c>
    </row>
    <row r="803" spans="1:2" ht="12.9" x14ac:dyDescent="0.35">
      <c r="A803" s="401">
        <v>40622</v>
      </c>
      <c r="B803" s="402">
        <v>518895121896.03601</v>
      </c>
    </row>
    <row r="804" spans="1:2" ht="12.9" x14ac:dyDescent="0.35">
      <c r="A804" s="401">
        <v>40623</v>
      </c>
      <c r="B804" s="402">
        <v>560558233873.09094</v>
      </c>
    </row>
    <row r="805" spans="1:2" ht="12.9" x14ac:dyDescent="0.35">
      <c r="A805" s="401">
        <v>40624</v>
      </c>
      <c r="B805" s="402">
        <v>450719120479.039</v>
      </c>
    </row>
    <row r="806" spans="1:2" ht="12.9" x14ac:dyDescent="0.35">
      <c r="A806" s="401">
        <v>40625</v>
      </c>
      <c r="B806" s="402">
        <v>594646234581.58899</v>
      </c>
    </row>
    <row r="807" spans="1:2" ht="12.9" x14ac:dyDescent="0.35">
      <c r="A807" s="401">
        <v>40626</v>
      </c>
      <c r="B807" s="402">
        <v>575708456410.20105</v>
      </c>
    </row>
    <row r="808" spans="1:2" ht="12.9" x14ac:dyDescent="0.35">
      <c r="A808" s="401">
        <v>40627</v>
      </c>
      <c r="B808" s="402">
        <v>593200442309.19897</v>
      </c>
    </row>
    <row r="809" spans="1:2" ht="12.9" x14ac:dyDescent="0.35">
      <c r="A809" s="401">
        <v>40628</v>
      </c>
      <c r="B809" s="402">
        <v>473188792131.03699</v>
      </c>
    </row>
    <row r="810" spans="1:2" ht="12.9" x14ac:dyDescent="0.35">
      <c r="A810" s="401">
        <v>40629</v>
      </c>
      <c r="B810" s="402">
        <v>490333313585.06097</v>
      </c>
    </row>
    <row r="811" spans="1:2" ht="12.9" x14ac:dyDescent="0.35">
      <c r="A811" s="401">
        <v>40630</v>
      </c>
      <c r="B811" s="402">
        <v>576055920855.17603</v>
      </c>
    </row>
    <row r="812" spans="1:2" ht="12.9" x14ac:dyDescent="0.35">
      <c r="A812" s="401">
        <v>40631</v>
      </c>
      <c r="B812" s="402">
        <v>558911399401.15295</v>
      </c>
    </row>
    <row r="813" spans="1:2" ht="12.9" x14ac:dyDescent="0.35">
      <c r="A813" s="401">
        <v>40632</v>
      </c>
      <c r="B813" s="402">
        <v>534909069365.521</v>
      </c>
    </row>
    <row r="814" spans="1:2" ht="12.9" x14ac:dyDescent="0.35">
      <c r="A814" s="401">
        <v>40633</v>
      </c>
      <c r="B814" s="402">
        <v>689209762451.729</v>
      </c>
    </row>
    <row r="815" spans="1:2" ht="12.9" x14ac:dyDescent="0.35">
      <c r="A815" s="401">
        <v>40634</v>
      </c>
      <c r="B815" s="402">
        <v>603487155181.61304</v>
      </c>
    </row>
    <row r="816" spans="1:2" ht="12.9" x14ac:dyDescent="0.35">
      <c r="A816" s="401">
        <v>40635</v>
      </c>
      <c r="B816" s="402">
        <v>617202772344.83203</v>
      </c>
    </row>
    <row r="817" spans="1:2" ht="12.9" x14ac:dyDescent="0.35">
      <c r="A817" s="401">
        <v>40636</v>
      </c>
      <c r="B817" s="402">
        <v>600058250890.80896</v>
      </c>
    </row>
    <row r="818" spans="1:2" ht="12.9" x14ac:dyDescent="0.35">
      <c r="A818" s="401">
        <v>40637</v>
      </c>
      <c r="B818" s="402">
        <v>610344963763.22205</v>
      </c>
    </row>
    <row r="819" spans="1:2" ht="12.9" x14ac:dyDescent="0.35">
      <c r="A819" s="401">
        <v>40638</v>
      </c>
      <c r="B819" s="402">
        <v>665207432416.09595</v>
      </c>
    </row>
    <row r="820" spans="1:2" ht="12.9" x14ac:dyDescent="0.35">
      <c r="A820" s="401">
        <v>40639</v>
      </c>
      <c r="B820" s="402">
        <v>605826776577.69299</v>
      </c>
    </row>
    <row r="821" spans="1:2" ht="12.9" x14ac:dyDescent="0.35">
      <c r="A821" s="401">
        <v>40640</v>
      </c>
      <c r="B821" s="402">
        <v>601733352411.62695</v>
      </c>
    </row>
    <row r="822" spans="1:2" ht="12.9" x14ac:dyDescent="0.35">
      <c r="A822" s="401">
        <v>40641</v>
      </c>
      <c r="B822" s="402">
        <v>679508411566.87195</v>
      </c>
    </row>
    <row r="823" spans="1:2" ht="12.9" x14ac:dyDescent="0.35">
      <c r="A823" s="401">
        <v>40642</v>
      </c>
      <c r="B823" s="402">
        <v>638574169906.21704</v>
      </c>
    </row>
    <row r="824" spans="1:2" ht="12.9" x14ac:dyDescent="0.35">
      <c r="A824" s="401">
        <v>40643</v>
      </c>
      <c r="B824" s="402">
        <v>708162380729.32996</v>
      </c>
    </row>
    <row r="825" spans="1:2" ht="12.9" x14ac:dyDescent="0.35">
      <c r="A825" s="401">
        <v>40644</v>
      </c>
      <c r="B825" s="402">
        <v>667228139068.67505</v>
      </c>
    </row>
    <row r="826" spans="1:2" ht="12.9" x14ac:dyDescent="0.35">
      <c r="A826" s="401">
        <v>40645</v>
      </c>
      <c r="B826" s="402">
        <v>667228139068.67505</v>
      </c>
    </row>
    <row r="827" spans="1:2" ht="12.9" x14ac:dyDescent="0.35">
      <c r="A827" s="401">
        <v>40646</v>
      </c>
      <c r="B827" s="402">
        <v>794124288216.70496</v>
      </c>
    </row>
    <row r="828" spans="1:2" ht="12.9" x14ac:dyDescent="0.35">
      <c r="A828" s="401">
        <v>40647</v>
      </c>
      <c r="B828" s="402">
        <v>654947866570.47803</v>
      </c>
    </row>
    <row r="829" spans="1:2" ht="12.9" x14ac:dyDescent="0.35">
      <c r="A829" s="401">
        <v>40648</v>
      </c>
      <c r="B829" s="402">
        <v>556705686584.90698</v>
      </c>
    </row>
    <row r="830" spans="1:2" ht="12.9" x14ac:dyDescent="0.35">
      <c r="A830" s="401">
        <v>40649</v>
      </c>
      <c r="B830" s="402">
        <v>708162380729.32996</v>
      </c>
    </row>
    <row r="831" spans="1:2" ht="12.9" x14ac:dyDescent="0.35">
      <c r="A831" s="401">
        <v>40650</v>
      </c>
      <c r="B831" s="402">
        <v>736816349891.78796</v>
      </c>
    </row>
    <row r="832" spans="1:2" ht="12.9" x14ac:dyDescent="0.35">
      <c r="A832" s="401">
        <v>40651</v>
      </c>
      <c r="B832" s="402">
        <v>679412299942</v>
      </c>
    </row>
    <row r="833" spans="1:2" ht="12.9" x14ac:dyDescent="0.35">
      <c r="A833" s="401">
        <v>40652</v>
      </c>
      <c r="B833" s="402">
        <v>706956041831.54004</v>
      </c>
    </row>
    <row r="834" spans="1:2" ht="12.9" x14ac:dyDescent="0.35">
      <c r="A834" s="401">
        <v>40653</v>
      </c>
      <c r="B834" s="402">
        <v>661049805348.97302</v>
      </c>
    </row>
    <row r="835" spans="1:2" ht="12.9" x14ac:dyDescent="0.35">
      <c r="A835" s="401">
        <v>40654</v>
      </c>
      <c r="B835" s="402">
        <v>674821676293.74304</v>
      </c>
    </row>
    <row r="836" spans="1:2" ht="12.9" x14ac:dyDescent="0.35">
      <c r="A836" s="401">
        <v>40655</v>
      </c>
      <c r="B836" s="402">
        <v>807949762093.18896</v>
      </c>
    </row>
    <row r="837" spans="1:2" ht="12.9" x14ac:dyDescent="0.35">
      <c r="A837" s="401">
        <v>40656</v>
      </c>
      <c r="B837" s="402">
        <v>789587267500.16199</v>
      </c>
    </row>
    <row r="838" spans="1:2" ht="12.9" x14ac:dyDescent="0.35">
      <c r="A838" s="401">
        <v>40657</v>
      </c>
      <c r="B838" s="402">
        <v>743681031017.59399</v>
      </c>
    </row>
    <row r="839" spans="1:2" ht="12.9" x14ac:dyDescent="0.35">
      <c r="A839" s="401">
        <v>40658</v>
      </c>
      <c r="B839" s="402">
        <v>881399740465.297</v>
      </c>
    </row>
    <row r="840" spans="1:2" ht="12.9" x14ac:dyDescent="0.35">
      <c r="A840" s="401">
        <v>40659</v>
      </c>
      <c r="B840" s="402">
        <v>895171611410.06702</v>
      </c>
    </row>
    <row r="841" spans="1:2" ht="12.9" x14ac:dyDescent="0.35">
      <c r="A841" s="401">
        <v>40660</v>
      </c>
      <c r="B841" s="402">
        <v>840084127630.98596</v>
      </c>
    </row>
    <row r="842" spans="1:2" ht="12.9" x14ac:dyDescent="0.35">
      <c r="A842" s="401">
        <v>40661</v>
      </c>
      <c r="B842" s="402">
        <v>752862278314.10803</v>
      </c>
    </row>
    <row r="843" spans="1:2" ht="12.9" x14ac:dyDescent="0.35">
      <c r="A843" s="401">
        <v>40662</v>
      </c>
      <c r="B843" s="402">
        <v>918124729651.35095</v>
      </c>
    </row>
    <row r="844" spans="1:2" ht="12.9" x14ac:dyDescent="0.35">
      <c r="A844" s="401">
        <v>40663</v>
      </c>
      <c r="B844" s="402">
        <v>1030377325650.24</v>
      </c>
    </row>
    <row r="845" spans="1:2" ht="12.9" x14ac:dyDescent="0.35">
      <c r="A845" s="401">
        <v>40664</v>
      </c>
      <c r="B845" s="402">
        <v>975860006832.77405</v>
      </c>
    </row>
    <row r="846" spans="1:2" ht="12.9" x14ac:dyDescent="0.35">
      <c r="A846" s="401">
        <v>40665</v>
      </c>
      <c r="B846" s="402">
        <v>1073991180704.22</v>
      </c>
    </row>
    <row r="847" spans="1:2" ht="12.9" x14ac:dyDescent="0.35">
      <c r="A847" s="401">
        <v>40666</v>
      </c>
      <c r="B847" s="402">
        <v>1068539448822.47</v>
      </c>
    </row>
    <row r="848" spans="1:2" ht="12.9" x14ac:dyDescent="0.35">
      <c r="A848" s="401">
        <v>40667</v>
      </c>
      <c r="B848" s="402">
        <v>1073991180704.22</v>
      </c>
    </row>
    <row r="849" spans="1:2" ht="12.9" x14ac:dyDescent="0.35">
      <c r="A849" s="401">
        <v>40668</v>
      </c>
      <c r="B849" s="402">
        <v>1193929282102.6599</v>
      </c>
    </row>
    <row r="850" spans="1:2" ht="12.9" x14ac:dyDescent="0.35">
      <c r="A850" s="401">
        <v>40669</v>
      </c>
      <c r="B850" s="402">
        <v>1188477550220.9199</v>
      </c>
    </row>
    <row r="851" spans="1:2" ht="12.9" x14ac:dyDescent="0.35">
      <c r="A851" s="401">
        <v>40670</v>
      </c>
      <c r="B851" s="402">
        <v>1166670622693.9299</v>
      </c>
    </row>
    <row r="852" spans="1:2" ht="12.9" x14ac:dyDescent="0.35">
      <c r="A852" s="401">
        <v>40671</v>
      </c>
      <c r="B852" s="402">
        <v>1193929282102.6599</v>
      </c>
    </row>
    <row r="853" spans="1:2" ht="12.9" x14ac:dyDescent="0.35">
      <c r="A853" s="401">
        <v>40672</v>
      </c>
      <c r="B853" s="402">
        <v>1302963919737.6101</v>
      </c>
    </row>
    <row r="854" spans="1:2" ht="12.9" x14ac:dyDescent="0.35">
      <c r="A854" s="401">
        <v>40673</v>
      </c>
      <c r="B854" s="402">
        <v>1432013757120.9399</v>
      </c>
    </row>
    <row r="855" spans="1:2" ht="12.9" x14ac:dyDescent="0.35">
      <c r="A855" s="401">
        <v>40674</v>
      </c>
      <c r="B855" s="402">
        <v>1494615451421.3101</v>
      </c>
    </row>
    <row r="856" spans="1:2" ht="12.9" x14ac:dyDescent="0.35">
      <c r="A856" s="401">
        <v>40675</v>
      </c>
      <c r="B856" s="402">
        <v>1322460792095.3</v>
      </c>
    </row>
    <row r="857" spans="1:2" ht="12.9" x14ac:dyDescent="0.35">
      <c r="A857" s="401">
        <v>40676</v>
      </c>
      <c r="B857" s="402">
        <v>1619818840022.05</v>
      </c>
    </row>
    <row r="858" spans="1:2" ht="12.9" x14ac:dyDescent="0.35">
      <c r="A858" s="401">
        <v>40677</v>
      </c>
      <c r="B858" s="402">
        <v>1893701252586.1699</v>
      </c>
    </row>
    <row r="859" spans="1:2" ht="12.9" x14ac:dyDescent="0.35">
      <c r="A859" s="401">
        <v>40678</v>
      </c>
      <c r="B859" s="402">
        <v>1721546593260.1499</v>
      </c>
    </row>
    <row r="860" spans="1:2" ht="12.9" x14ac:dyDescent="0.35">
      <c r="A860" s="401">
        <v>40679</v>
      </c>
      <c r="B860" s="402">
        <v>1932827311523.8999</v>
      </c>
    </row>
    <row r="861" spans="1:2" ht="12.9" x14ac:dyDescent="0.35">
      <c r="A861" s="401">
        <v>40680</v>
      </c>
      <c r="B861" s="402">
        <v>2011079429399.3601</v>
      </c>
    </row>
    <row r="862" spans="1:2" ht="12.9" x14ac:dyDescent="0.35">
      <c r="A862" s="401">
        <v>40681</v>
      </c>
      <c r="B862" s="402">
        <v>2253660994813.29</v>
      </c>
    </row>
    <row r="863" spans="1:2" ht="12.9" x14ac:dyDescent="0.35">
      <c r="A863" s="401">
        <v>40682</v>
      </c>
      <c r="B863" s="402">
        <v>2075067489333.1899</v>
      </c>
    </row>
    <row r="864" spans="1:2" ht="12.9" x14ac:dyDescent="0.35">
      <c r="A864" s="401">
        <v>40683</v>
      </c>
      <c r="B864" s="402">
        <v>2669677471656.7402</v>
      </c>
    </row>
    <row r="865" spans="1:2" ht="12.9" x14ac:dyDescent="0.35">
      <c r="A865" s="401">
        <v>40684</v>
      </c>
      <c r="B865" s="402">
        <v>2669677471656.7402</v>
      </c>
    </row>
    <row r="866" spans="1:2" ht="12.9" x14ac:dyDescent="0.35">
      <c r="A866" s="401">
        <v>40685</v>
      </c>
      <c r="B866" s="402">
        <v>3057994194806.8101</v>
      </c>
    </row>
    <row r="867" spans="1:2" ht="12.9" x14ac:dyDescent="0.35">
      <c r="A867" s="401">
        <v>40686</v>
      </c>
      <c r="B867" s="402">
        <v>3470580713153.7598</v>
      </c>
    </row>
    <row r="868" spans="1:2" ht="12.9" x14ac:dyDescent="0.35">
      <c r="A868" s="401">
        <v>40687</v>
      </c>
      <c r="B868" s="402">
        <v>3628334381933.4702</v>
      </c>
    </row>
    <row r="869" spans="1:2" ht="12.9" x14ac:dyDescent="0.35">
      <c r="A869" s="401">
        <v>40688</v>
      </c>
      <c r="B869" s="402">
        <v>3725413562720.9902</v>
      </c>
    </row>
    <row r="870" spans="1:2" ht="12.9" x14ac:dyDescent="0.35">
      <c r="A870" s="401">
        <v>40689</v>
      </c>
      <c r="B870" s="402">
        <v>3591929689138.1499</v>
      </c>
    </row>
    <row r="871" spans="1:2" ht="12.9" x14ac:dyDescent="0.35">
      <c r="A871" s="401">
        <v>40690</v>
      </c>
      <c r="B871" s="402">
        <v>3610181820470.27</v>
      </c>
    </row>
    <row r="872" spans="1:2" ht="12.9" x14ac:dyDescent="0.35">
      <c r="A872" s="401">
        <v>40691</v>
      </c>
      <c r="B872" s="402">
        <v>3350767557921.5098</v>
      </c>
    </row>
    <row r="873" spans="1:2" ht="12.9" x14ac:dyDescent="0.35">
      <c r="A873" s="401">
        <v>40692</v>
      </c>
      <c r="B873" s="402">
        <v>3891213938231.4302</v>
      </c>
    </row>
    <row r="874" spans="1:2" ht="12.9" x14ac:dyDescent="0.35">
      <c r="A874" s="401">
        <v>40693</v>
      </c>
      <c r="B874" s="402">
        <v>3329149702709.1099</v>
      </c>
    </row>
    <row r="875" spans="1:2" ht="12.9" x14ac:dyDescent="0.35">
      <c r="A875" s="401">
        <v>40694</v>
      </c>
      <c r="B875" s="402">
        <v>3242678281859.52</v>
      </c>
    </row>
    <row r="876" spans="1:2" ht="12.9" x14ac:dyDescent="0.35">
      <c r="A876" s="401">
        <v>40695</v>
      </c>
      <c r="B876" s="402">
        <v>4064156779930.6001</v>
      </c>
    </row>
    <row r="877" spans="1:2" ht="12.9" x14ac:dyDescent="0.35">
      <c r="A877" s="401">
        <v>40696</v>
      </c>
      <c r="B877" s="402">
        <v>4107392490355.3999</v>
      </c>
    </row>
    <row r="878" spans="1:2" ht="12.9" x14ac:dyDescent="0.35">
      <c r="A878" s="401">
        <v>40697</v>
      </c>
      <c r="B878" s="402">
        <v>4366806752904.1602</v>
      </c>
    </row>
    <row r="879" spans="1:2" ht="12.9" x14ac:dyDescent="0.35">
      <c r="A879" s="401">
        <v>40698</v>
      </c>
      <c r="B879" s="402">
        <v>4842399567576.8896</v>
      </c>
    </row>
    <row r="880" spans="1:2" ht="12.9" x14ac:dyDescent="0.35">
      <c r="A880" s="401">
        <v>40699</v>
      </c>
      <c r="B880" s="402">
        <v>4496513884178.54</v>
      </c>
    </row>
    <row r="881" spans="1:2" ht="12.9" x14ac:dyDescent="0.35">
      <c r="A881" s="401">
        <v>40700</v>
      </c>
      <c r="B881" s="402">
        <v>5036960264488.46</v>
      </c>
    </row>
    <row r="882" spans="1:2" ht="12.9" x14ac:dyDescent="0.35">
      <c r="A882" s="401">
        <v>40701</v>
      </c>
      <c r="B882" s="402">
        <v>4793850619125.4502</v>
      </c>
    </row>
    <row r="883" spans="1:2" ht="12.9" x14ac:dyDescent="0.35">
      <c r="A883" s="401">
        <v>40702</v>
      </c>
      <c r="B883" s="402">
        <v>5216837438460.0498</v>
      </c>
    </row>
    <row r="884" spans="1:2" ht="12.9" x14ac:dyDescent="0.35">
      <c r="A884" s="401">
        <v>40703</v>
      </c>
      <c r="B884" s="402">
        <v>6260204926152.0596</v>
      </c>
    </row>
    <row r="885" spans="1:2" ht="12.9" x14ac:dyDescent="0.35">
      <c r="A885" s="401">
        <v>40704</v>
      </c>
      <c r="B885" s="402">
        <v>6288404047441.04</v>
      </c>
    </row>
    <row r="886" spans="1:2" ht="12.9" x14ac:dyDescent="0.35">
      <c r="A886" s="401">
        <v>40705</v>
      </c>
      <c r="B886" s="402">
        <v>7106178564821.2598</v>
      </c>
    </row>
    <row r="887" spans="1:2" ht="12.9" x14ac:dyDescent="0.35">
      <c r="A887" s="401">
        <v>40706</v>
      </c>
      <c r="B887" s="402">
        <v>6570395260330.7695</v>
      </c>
    </row>
    <row r="888" spans="1:2" ht="12.9" x14ac:dyDescent="0.35">
      <c r="A888" s="401">
        <v>40707</v>
      </c>
      <c r="B888" s="402">
        <v>6401200532596.9297</v>
      </c>
    </row>
    <row r="889" spans="1:2" ht="12.9" x14ac:dyDescent="0.35">
      <c r="A889" s="401">
        <v>40708</v>
      </c>
      <c r="B889" s="402">
        <v>6965182958376.3896</v>
      </c>
    </row>
    <row r="890" spans="1:2" ht="12.9" x14ac:dyDescent="0.35">
      <c r="A890" s="401">
        <v>40709</v>
      </c>
      <c r="B890" s="402">
        <v>7867554839623.54</v>
      </c>
    </row>
    <row r="891" spans="1:2" ht="12.9" x14ac:dyDescent="0.35">
      <c r="A891" s="401">
        <v>40710</v>
      </c>
      <c r="B891" s="402">
        <v>7846855982937.9697</v>
      </c>
    </row>
    <row r="892" spans="1:2" ht="12.9" x14ac:dyDescent="0.35">
      <c r="A892" s="401">
        <v>40711</v>
      </c>
      <c r="B892" s="402">
        <v>8108417849035.9004</v>
      </c>
    </row>
    <row r="893" spans="1:2" ht="12.9" x14ac:dyDescent="0.35">
      <c r="A893" s="401">
        <v>40712</v>
      </c>
      <c r="B893" s="402">
        <v>8587947936882.1104</v>
      </c>
    </row>
    <row r="894" spans="1:2" ht="12.9" x14ac:dyDescent="0.35">
      <c r="A894" s="401">
        <v>40713</v>
      </c>
      <c r="B894" s="402">
        <v>9721382689973.1504</v>
      </c>
    </row>
    <row r="895" spans="1:2" ht="12.9" x14ac:dyDescent="0.35">
      <c r="A895" s="401">
        <v>40714</v>
      </c>
      <c r="B895" s="402">
        <v>10200912777819.301</v>
      </c>
    </row>
    <row r="896" spans="1:2" ht="12.9" x14ac:dyDescent="0.35">
      <c r="A896" s="401">
        <v>40715</v>
      </c>
      <c r="B896" s="402">
        <v>11029192020462.801</v>
      </c>
    </row>
    <row r="897" spans="1:2" ht="12.9" x14ac:dyDescent="0.35">
      <c r="A897" s="401">
        <v>40716</v>
      </c>
      <c r="B897" s="402">
        <v>11334347530910.4</v>
      </c>
    </row>
    <row r="898" spans="1:2" ht="12.9" x14ac:dyDescent="0.35">
      <c r="A898" s="401">
        <v>40717</v>
      </c>
      <c r="B898" s="402">
        <v>10462474643917.301</v>
      </c>
    </row>
    <row r="899" spans="1:2" ht="12.9" x14ac:dyDescent="0.35">
      <c r="A899" s="401">
        <v>40718</v>
      </c>
      <c r="B899" s="402">
        <v>9416227179525.5703</v>
      </c>
    </row>
    <row r="900" spans="1:2" ht="12.9" x14ac:dyDescent="0.35">
      <c r="A900" s="401">
        <v>40719</v>
      </c>
      <c r="B900" s="402">
        <v>9804082932584.7695</v>
      </c>
    </row>
    <row r="901" spans="1:2" ht="12.9" x14ac:dyDescent="0.35">
      <c r="A901" s="401">
        <v>40720</v>
      </c>
      <c r="B901" s="402">
        <v>10215443055630.199</v>
      </c>
    </row>
    <row r="902" spans="1:2" ht="12.9" x14ac:dyDescent="0.35">
      <c r="A902" s="401">
        <v>40721</v>
      </c>
      <c r="B902" s="403">
        <v>11586643465782</v>
      </c>
    </row>
    <row r="903" spans="1:2" ht="12.9" x14ac:dyDescent="0.35">
      <c r="A903" s="401">
        <v>40722</v>
      </c>
      <c r="B903" s="402">
        <v>10969603281213.699</v>
      </c>
    </row>
    <row r="904" spans="1:2" ht="12.9" x14ac:dyDescent="0.35">
      <c r="A904" s="401">
        <v>40723</v>
      </c>
      <c r="B904" s="402">
        <v>11792323527304.699</v>
      </c>
    </row>
    <row r="905" spans="1:2" ht="12.9" x14ac:dyDescent="0.35">
      <c r="A905" s="401">
        <v>40724</v>
      </c>
      <c r="B905" s="402">
        <v>13094963916948.801</v>
      </c>
    </row>
    <row r="906" spans="1:2" ht="12.9" x14ac:dyDescent="0.35">
      <c r="A906" s="401">
        <v>40725</v>
      </c>
      <c r="B906" s="402">
        <v>11860883547812.301</v>
      </c>
    </row>
    <row r="907" spans="1:2" ht="12.9" x14ac:dyDescent="0.35">
      <c r="A907" s="401">
        <v>40726</v>
      </c>
      <c r="B907" s="403">
        <v>11586643465782</v>
      </c>
    </row>
    <row r="908" spans="1:2" ht="12.9" x14ac:dyDescent="0.35">
      <c r="A908" s="401">
        <v>40727</v>
      </c>
      <c r="B908" s="402">
        <v>11312403383751.6</v>
      </c>
    </row>
    <row r="909" spans="1:2" ht="12.9" x14ac:dyDescent="0.35">
      <c r="A909" s="401">
        <v>40728</v>
      </c>
      <c r="B909" s="402">
        <v>11655203486289.5</v>
      </c>
    </row>
    <row r="910" spans="1:2" ht="12.9" x14ac:dyDescent="0.35">
      <c r="A910" s="401">
        <v>40729</v>
      </c>
      <c r="B910" s="402">
        <v>9529842850554.4199</v>
      </c>
    </row>
    <row r="911" spans="1:2" ht="12.9" x14ac:dyDescent="0.35">
      <c r="A911" s="401">
        <v>40730</v>
      </c>
      <c r="B911" s="402">
        <v>10763923219690.9</v>
      </c>
    </row>
    <row r="912" spans="1:2" ht="12.9" x14ac:dyDescent="0.35">
      <c r="A912" s="401">
        <v>40731</v>
      </c>
      <c r="B912" s="402">
        <v>10178509148696.301</v>
      </c>
    </row>
    <row r="913" spans="1:2" ht="12.9" x14ac:dyDescent="0.35">
      <c r="A913" s="401">
        <v>40732</v>
      </c>
      <c r="B913" s="402">
        <v>12820259614770.199</v>
      </c>
    </row>
    <row r="914" spans="1:2" ht="12.9" x14ac:dyDescent="0.35">
      <c r="A914" s="401">
        <v>40733</v>
      </c>
      <c r="B914" s="402">
        <v>11577082924853.1</v>
      </c>
    </row>
    <row r="915" spans="1:2" ht="12.9" x14ac:dyDescent="0.35">
      <c r="A915" s="401">
        <v>40734</v>
      </c>
      <c r="B915" s="402">
        <v>10644700407415.199</v>
      </c>
    </row>
    <row r="916" spans="1:2" ht="12.9" x14ac:dyDescent="0.35">
      <c r="A916" s="401">
        <v>40735</v>
      </c>
      <c r="B916" s="402">
        <v>12198671269811.6</v>
      </c>
    </row>
    <row r="917" spans="1:2" ht="12.9" x14ac:dyDescent="0.35">
      <c r="A917" s="401">
        <v>40736</v>
      </c>
      <c r="B917" s="402">
        <v>10955494579894.5</v>
      </c>
    </row>
    <row r="918" spans="1:2" ht="12.9" x14ac:dyDescent="0.35">
      <c r="A918" s="401">
        <v>40737</v>
      </c>
      <c r="B918" s="402">
        <v>14840421735885.5</v>
      </c>
    </row>
    <row r="919" spans="1:2" ht="12.9" x14ac:dyDescent="0.35">
      <c r="A919" s="401">
        <v>40738</v>
      </c>
      <c r="B919" s="402">
        <v>11188590209254</v>
      </c>
    </row>
    <row r="920" spans="1:2" ht="12.9" x14ac:dyDescent="0.35">
      <c r="A920" s="401">
        <v>40739</v>
      </c>
      <c r="B920" s="402">
        <v>12587163985410.699</v>
      </c>
    </row>
    <row r="921" spans="1:2" ht="12.9" x14ac:dyDescent="0.35">
      <c r="A921" s="401">
        <v>40740</v>
      </c>
      <c r="B921" s="402">
        <v>12198671269811.6</v>
      </c>
    </row>
    <row r="922" spans="1:2" ht="12.9" x14ac:dyDescent="0.35">
      <c r="A922" s="401">
        <v>40741</v>
      </c>
      <c r="B922" s="402">
        <v>13208752330369.301</v>
      </c>
    </row>
    <row r="923" spans="1:2" ht="12.9" x14ac:dyDescent="0.35">
      <c r="A923" s="401">
        <v>40742</v>
      </c>
      <c r="B923" s="402">
        <v>13208752330369.301</v>
      </c>
    </row>
    <row r="924" spans="1:2" ht="12.9" x14ac:dyDescent="0.35">
      <c r="A924" s="401">
        <v>40743</v>
      </c>
      <c r="B924" s="402">
        <v>11033193123014.301</v>
      </c>
    </row>
    <row r="925" spans="1:2" ht="12.9" x14ac:dyDescent="0.35">
      <c r="A925" s="401">
        <v>40744</v>
      </c>
      <c r="B925" s="402">
        <v>12524178056128.1</v>
      </c>
    </row>
    <row r="926" spans="1:2" ht="12.9" x14ac:dyDescent="0.35">
      <c r="A926" s="401">
        <v>40745</v>
      </c>
      <c r="B926" s="402">
        <v>12776342714976.301</v>
      </c>
    </row>
    <row r="927" spans="1:2" ht="12.9" x14ac:dyDescent="0.35">
      <c r="A927" s="401">
        <v>40746</v>
      </c>
      <c r="B927" s="402">
        <v>12692287828693.6</v>
      </c>
    </row>
    <row r="928" spans="1:2" ht="12.9" x14ac:dyDescent="0.35">
      <c r="A928" s="401">
        <v>40747</v>
      </c>
      <c r="B928" s="402">
        <v>12272013397279.9</v>
      </c>
    </row>
    <row r="929" spans="1:2" ht="12.9" x14ac:dyDescent="0.35">
      <c r="A929" s="401">
        <v>40748</v>
      </c>
      <c r="B929" s="402">
        <v>13953111122934.6</v>
      </c>
    </row>
    <row r="930" spans="1:2" ht="12.9" x14ac:dyDescent="0.35">
      <c r="A930" s="401">
        <v>40749</v>
      </c>
      <c r="B930" s="402">
        <v>13869056236651.9</v>
      </c>
    </row>
    <row r="931" spans="1:2" ht="12.9" x14ac:dyDescent="0.35">
      <c r="A931" s="401">
        <v>40750</v>
      </c>
      <c r="B931" s="402">
        <v>14793659985762</v>
      </c>
    </row>
    <row r="932" spans="1:2" ht="12.9" x14ac:dyDescent="0.35">
      <c r="A932" s="401">
        <v>40751</v>
      </c>
      <c r="B932" s="402">
        <v>14625550213196.6</v>
      </c>
    </row>
    <row r="933" spans="1:2" ht="12.9" x14ac:dyDescent="0.35">
      <c r="A933" s="401">
        <v>40752</v>
      </c>
      <c r="B933" s="402">
        <v>13028507373824.5</v>
      </c>
    </row>
    <row r="934" spans="1:2" ht="12.9" x14ac:dyDescent="0.35">
      <c r="A934" s="401">
        <v>40753</v>
      </c>
      <c r="B934" s="402">
        <v>13785001350369.199</v>
      </c>
    </row>
    <row r="935" spans="1:2" ht="12.9" x14ac:dyDescent="0.35">
      <c r="A935" s="401">
        <v>40754</v>
      </c>
      <c r="B935" s="402">
        <v>12776342714976.301</v>
      </c>
    </row>
    <row r="936" spans="1:2" ht="12.9" x14ac:dyDescent="0.35">
      <c r="A936" s="401">
        <v>40755</v>
      </c>
      <c r="B936" s="402">
        <v>14709605099479.301</v>
      </c>
    </row>
    <row r="937" spans="1:2" ht="12.9" x14ac:dyDescent="0.35">
      <c r="A937" s="401">
        <v>40756</v>
      </c>
      <c r="B937" s="402">
        <v>15492195902437.6</v>
      </c>
    </row>
    <row r="938" spans="1:2" ht="12.9" x14ac:dyDescent="0.35">
      <c r="A938" s="401">
        <v>40757</v>
      </c>
      <c r="B938" s="402">
        <v>14459382842275</v>
      </c>
    </row>
    <row r="939" spans="1:2" ht="12.9" x14ac:dyDescent="0.35">
      <c r="A939" s="401">
        <v>40758</v>
      </c>
      <c r="B939" s="402">
        <v>14741059131410.301</v>
      </c>
    </row>
    <row r="940" spans="1:2" ht="12.9" x14ac:dyDescent="0.35">
      <c r="A940" s="401">
        <v>40759</v>
      </c>
      <c r="B940" s="402">
        <v>12112080432814.801</v>
      </c>
    </row>
    <row r="941" spans="1:2" ht="12.9" x14ac:dyDescent="0.35">
      <c r="A941" s="401">
        <v>40760</v>
      </c>
      <c r="B941" s="402">
        <v>13144893492977.301</v>
      </c>
    </row>
    <row r="942" spans="1:2" ht="12.9" x14ac:dyDescent="0.35">
      <c r="A942" s="401">
        <v>40761</v>
      </c>
      <c r="B942" s="402">
        <v>11454835758165.9</v>
      </c>
    </row>
    <row r="943" spans="1:2" ht="12.9" x14ac:dyDescent="0.35">
      <c r="A943" s="401">
        <v>40762</v>
      </c>
      <c r="B943" s="402">
        <v>11830404143679.6</v>
      </c>
    </row>
    <row r="944" spans="1:2" ht="12.9" x14ac:dyDescent="0.35">
      <c r="A944" s="401">
        <v>40763</v>
      </c>
      <c r="B944" s="402">
        <v>12769325107463.699</v>
      </c>
    </row>
    <row r="945" spans="1:2" ht="12.9" x14ac:dyDescent="0.35">
      <c r="A945" s="401">
        <v>40764</v>
      </c>
      <c r="B945" s="402">
        <v>13708246071247.801</v>
      </c>
    </row>
    <row r="946" spans="1:2" ht="12.9" x14ac:dyDescent="0.35">
      <c r="A946" s="401">
        <v>40765</v>
      </c>
      <c r="B946" s="402">
        <v>14271598649518.199</v>
      </c>
    </row>
    <row r="947" spans="1:2" ht="12.9" x14ac:dyDescent="0.35">
      <c r="A947" s="401">
        <v>40766</v>
      </c>
      <c r="B947" s="402">
        <v>12863217203842.1</v>
      </c>
    </row>
    <row r="948" spans="1:2" ht="12.9" x14ac:dyDescent="0.35">
      <c r="A948" s="401">
        <v>40767</v>
      </c>
      <c r="B948" s="402">
        <v>12299864625571.6</v>
      </c>
    </row>
    <row r="949" spans="1:2" ht="12.9" x14ac:dyDescent="0.35">
      <c r="A949" s="401">
        <v>40768</v>
      </c>
      <c r="B949" s="402">
        <v>12205972529193.199</v>
      </c>
    </row>
    <row r="950" spans="1:2" ht="12.9" x14ac:dyDescent="0.35">
      <c r="A950" s="401">
        <v>40769</v>
      </c>
      <c r="B950" s="402">
        <v>12393756721950</v>
      </c>
    </row>
    <row r="951" spans="1:2" ht="12.9" x14ac:dyDescent="0.35">
      <c r="A951" s="401">
        <v>40770</v>
      </c>
      <c r="B951" s="402">
        <v>12112080432814.801</v>
      </c>
    </row>
    <row r="952" spans="1:2" ht="12.9" x14ac:dyDescent="0.35">
      <c r="A952" s="401">
        <v>40771</v>
      </c>
      <c r="B952" s="402">
        <v>13194995687917.1</v>
      </c>
    </row>
    <row r="953" spans="1:2" ht="12.9" x14ac:dyDescent="0.35">
      <c r="A953" s="401">
        <v>40772</v>
      </c>
      <c r="B953" s="402">
        <v>12207615058209</v>
      </c>
    </row>
    <row r="954" spans="1:2" ht="12.9" x14ac:dyDescent="0.35">
      <c r="A954" s="401">
        <v>40773</v>
      </c>
      <c r="B954" s="402">
        <v>12925710061633</v>
      </c>
    </row>
    <row r="955" spans="1:2" ht="12.9" x14ac:dyDescent="0.35">
      <c r="A955" s="401">
        <v>40774</v>
      </c>
      <c r="B955" s="403">
        <v>11758805681069</v>
      </c>
    </row>
    <row r="956" spans="1:2" ht="12.9" x14ac:dyDescent="0.35">
      <c r="A956" s="401">
        <v>40775</v>
      </c>
      <c r="B956" s="402">
        <v>13643805065057.1</v>
      </c>
    </row>
    <row r="957" spans="1:2" ht="12.9" x14ac:dyDescent="0.35">
      <c r="A957" s="401">
        <v>40776</v>
      </c>
      <c r="B957" s="402">
        <v>14361900068481.199</v>
      </c>
    </row>
    <row r="958" spans="1:2" ht="12.9" x14ac:dyDescent="0.35">
      <c r="A958" s="401">
        <v>40777</v>
      </c>
      <c r="B958" s="402">
        <v>15169756947333.199</v>
      </c>
    </row>
    <row r="959" spans="1:2" ht="12.9" x14ac:dyDescent="0.35">
      <c r="A959" s="401">
        <v>40778</v>
      </c>
      <c r="B959" s="402">
        <v>13913090691341.1</v>
      </c>
    </row>
    <row r="960" spans="1:2" ht="12.9" x14ac:dyDescent="0.35">
      <c r="A960" s="401">
        <v>40779</v>
      </c>
      <c r="B960" s="402">
        <v>12028091307353</v>
      </c>
    </row>
    <row r="961" spans="1:2" ht="12.9" x14ac:dyDescent="0.35">
      <c r="A961" s="401">
        <v>40780</v>
      </c>
      <c r="B961" s="402">
        <v>12117853182781</v>
      </c>
    </row>
    <row r="962" spans="1:2" ht="12.9" x14ac:dyDescent="0.35">
      <c r="A962" s="401">
        <v>40781</v>
      </c>
      <c r="B962" s="402">
        <v>13194995687917.1</v>
      </c>
    </row>
    <row r="963" spans="1:2" ht="12.9" x14ac:dyDescent="0.35">
      <c r="A963" s="401">
        <v>40782</v>
      </c>
      <c r="B963" s="402">
        <v>10950948802216.9</v>
      </c>
    </row>
    <row r="964" spans="1:2" ht="12.9" x14ac:dyDescent="0.35">
      <c r="A964" s="401">
        <v>40783</v>
      </c>
      <c r="B964" s="402">
        <v>10412377549648.801</v>
      </c>
    </row>
    <row r="965" spans="1:2" ht="12.9" x14ac:dyDescent="0.35">
      <c r="A965" s="401">
        <v>40784</v>
      </c>
      <c r="B965" s="402">
        <v>12387138809065</v>
      </c>
    </row>
    <row r="966" spans="1:2" ht="12.9" x14ac:dyDescent="0.35">
      <c r="A966" s="401">
        <v>40785</v>
      </c>
      <c r="B966" s="402">
        <v>12902552730770.6</v>
      </c>
    </row>
    <row r="967" spans="1:2" ht="12.9" x14ac:dyDescent="0.35">
      <c r="A967" s="401">
        <v>40786</v>
      </c>
      <c r="B967" s="402">
        <v>13697915570338.699</v>
      </c>
    </row>
    <row r="968" spans="1:2" ht="12.9" x14ac:dyDescent="0.35">
      <c r="A968" s="401">
        <v>40787</v>
      </c>
      <c r="B968" s="402">
        <v>11400200700475.4</v>
      </c>
    </row>
    <row r="969" spans="1:2" ht="12.9" x14ac:dyDescent="0.35">
      <c r="A969" s="401">
        <v>40788</v>
      </c>
      <c r="B969" s="402">
        <v>13786289219179.6</v>
      </c>
    </row>
    <row r="970" spans="1:2" ht="12.9" x14ac:dyDescent="0.35">
      <c r="A970" s="401">
        <v>40789</v>
      </c>
      <c r="B970" s="402">
        <v>12814179081929.699</v>
      </c>
    </row>
    <row r="971" spans="1:2" ht="12.9" x14ac:dyDescent="0.35">
      <c r="A971" s="401">
        <v>40790</v>
      </c>
      <c r="B971" s="402">
        <v>11842068944679.9</v>
      </c>
    </row>
    <row r="972" spans="1:2" ht="12.9" x14ac:dyDescent="0.35">
      <c r="A972" s="401">
        <v>40791</v>
      </c>
      <c r="B972" s="402">
        <v>13786289219179.6</v>
      </c>
    </row>
    <row r="973" spans="1:2" ht="12.9" x14ac:dyDescent="0.35">
      <c r="A973" s="401">
        <v>40792</v>
      </c>
      <c r="B973" s="402">
        <v>13344420974975.1</v>
      </c>
    </row>
    <row r="974" spans="1:2" ht="12.9" x14ac:dyDescent="0.35">
      <c r="A974" s="401">
        <v>40793</v>
      </c>
      <c r="B974" s="402">
        <v>12018816242361.699</v>
      </c>
    </row>
    <row r="975" spans="1:2" ht="12.9" x14ac:dyDescent="0.35">
      <c r="A975" s="401">
        <v>40794</v>
      </c>
      <c r="B975" s="402">
        <v>11400200700475.4</v>
      </c>
    </row>
    <row r="976" spans="1:2" ht="12.9" x14ac:dyDescent="0.35">
      <c r="A976" s="401">
        <v>40795</v>
      </c>
      <c r="B976" s="402">
        <v>13609541921497.801</v>
      </c>
    </row>
    <row r="977" spans="1:2" ht="12.9" x14ac:dyDescent="0.35">
      <c r="A977" s="401">
        <v>40796</v>
      </c>
      <c r="B977" s="402">
        <v>11753695295839</v>
      </c>
    </row>
    <row r="978" spans="1:2" ht="12.9" x14ac:dyDescent="0.35">
      <c r="A978" s="401">
        <v>40797</v>
      </c>
      <c r="B978" s="402">
        <v>11046706105111.801</v>
      </c>
    </row>
    <row r="979" spans="1:2" ht="12.9" x14ac:dyDescent="0.35">
      <c r="A979" s="401">
        <v>40798</v>
      </c>
      <c r="B979" s="402">
        <v>11753695295839</v>
      </c>
    </row>
    <row r="980" spans="1:2" ht="12.9" x14ac:dyDescent="0.35">
      <c r="A980" s="401">
        <v>40799</v>
      </c>
      <c r="B980" s="402">
        <v>12391298568006.801</v>
      </c>
    </row>
    <row r="981" spans="1:2" ht="12.9" x14ac:dyDescent="0.35">
      <c r="A981" s="401">
        <v>40800</v>
      </c>
      <c r="B981" s="402">
        <v>12740349231894.301</v>
      </c>
    </row>
    <row r="982" spans="1:2" ht="12.9" x14ac:dyDescent="0.35">
      <c r="A982" s="401">
        <v>40801</v>
      </c>
      <c r="B982" s="402">
        <v>13612975891613.1</v>
      </c>
    </row>
    <row r="983" spans="1:2" ht="12.9" x14ac:dyDescent="0.35">
      <c r="A983" s="401">
        <v>40802</v>
      </c>
      <c r="B983" s="402">
        <v>10384257250653.5</v>
      </c>
    </row>
    <row r="984" spans="1:2" ht="12.9" x14ac:dyDescent="0.35">
      <c r="A984" s="401">
        <v>40803</v>
      </c>
      <c r="B984" s="402">
        <v>11693197240231.699</v>
      </c>
    </row>
    <row r="985" spans="1:2" ht="12.9" x14ac:dyDescent="0.35">
      <c r="A985" s="401">
        <v>40804</v>
      </c>
      <c r="B985" s="402">
        <v>13787501223556.801</v>
      </c>
    </row>
    <row r="986" spans="1:2" ht="12.9" x14ac:dyDescent="0.35">
      <c r="A986" s="401">
        <v>40805</v>
      </c>
      <c r="B986" s="402">
        <v>11082358578428.6</v>
      </c>
    </row>
    <row r="987" spans="1:2" ht="12.9" x14ac:dyDescent="0.35">
      <c r="A987" s="401">
        <v>40806</v>
      </c>
      <c r="B987" s="402">
        <v>12216773236063</v>
      </c>
    </row>
    <row r="988" spans="1:2" ht="12.9" x14ac:dyDescent="0.35">
      <c r="A988" s="401">
        <v>40807</v>
      </c>
      <c r="B988" s="402">
        <v>12740349231894.301</v>
      </c>
    </row>
    <row r="989" spans="1:2" ht="12.9" x14ac:dyDescent="0.35">
      <c r="A989" s="401">
        <v>40808</v>
      </c>
      <c r="B989" s="402">
        <v>12914874563838</v>
      </c>
    </row>
    <row r="990" spans="1:2" ht="12.9" x14ac:dyDescent="0.35">
      <c r="A990" s="401">
        <v>40809</v>
      </c>
      <c r="B990" s="402">
        <v>11605934574259.801</v>
      </c>
    </row>
    <row r="991" spans="1:2" ht="12.9" x14ac:dyDescent="0.35">
      <c r="A991" s="401">
        <v>40810</v>
      </c>
      <c r="B991" s="402">
        <v>11256883910372.301</v>
      </c>
    </row>
    <row r="992" spans="1:2" ht="12.9" x14ac:dyDescent="0.35">
      <c r="A992" s="401">
        <v>40811</v>
      </c>
      <c r="B992" s="402">
        <v>11954985238147.4</v>
      </c>
    </row>
    <row r="993" spans="1:2" ht="12.9" x14ac:dyDescent="0.35">
      <c r="A993" s="401">
        <v>40812</v>
      </c>
      <c r="B993" s="402">
        <v>11693197240231.699</v>
      </c>
    </row>
    <row r="994" spans="1:2" ht="12.9" x14ac:dyDescent="0.35">
      <c r="A994" s="401">
        <v>40813</v>
      </c>
      <c r="B994" s="402">
        <v>11605934574259.801</v>
      </c>
    </row>
    <row r="995" spans="1:2" ht="12.9" x14ac:dyDescent="0.35">
      <c r="A995" s="401">
        <v>40814</v>
      </c>
      <c r="B995" s="402">
        <v>12344658508772.5</v>
      </c>
    </row>
    <row r="996" spans="1:2" ht="12.9" x14ac:dyDescent="0.35">
      <c r="A996" s="401">
        <v>40815</v>
      </c>
      <c r="B996" s="402">
        <v>10497158595894.9</v>
      </c>
    </row>
    <row r="997" spans="1:2" ht="12.9" x14ac:dyDescent="0.35">
      <c r="A997" s="401">
        <v>40816</v>
      </c>
      <c r="B997" s="402">
        <v>10245226789593.5</v>
      </c>
    </row>
    <row r="998" spans="1:2" ht="12.9" x14ac:dyDescent="0.35">
      <c r="A998" s="401">
        <v>40817</v>
      </c>
      <c r="B998" s="402">
        <v>12008749433703.801</v>
      </c>
    </row>
    <row r="999" spans="1:2" ht="12.9" x14ac:dyDescent="0.35">
      <c r="A999" s="401">
        <v>40818</v>
      </c>
      <c r="B999" s="402">
        <v>10161249520826.301</v>
      </c>
    </row>
    <row r="1000" spans="1:2" ht="12.9" x14ac:dyDescent="0.35">
      <c r="A1000" s="401">
        <v>40819</v>
      </c>
      <c r="B1000" s="402">
        <v>12176703971238.1</v>
      </c>
    </row>
    <row r="1001" spans="1:2" ht="12.9" x14ac:dyDescent="0.35">
      <c r="A1001" s="401">
        <v>40820</v>
      </c>
      <c r="B1001" s="402">
        <v>9405454101921.9102</v>
      </c>
    </row>
    <row r="1002" spans="1:2" ht="12.9" x14ac:dyDescent="0.35">
      <c r="A1002" s="401">
        <v>40821</v>
      </c>
      <c r="B1002" s="402">
        <v>12176703971238.1</v>
      </c>
    </row>
    <row r="1003" spans="1:2" ht="12.9" x14ac:dyDescent="0.35">
      <c r="A1003" s="401">
        <v>40822</v>
      </c>
      <c r="B1003" s="402">
        <v>10749090402196.4</v>
      </c>
    </row>
    <row r="1004" spans="1:2" ht="12.9" x14ac:dyDescent="0.35">
      <c r="A1004" s="401">
        <v>40823</v>
      </c>
      <c r="B1004" s="402">
        <v>11588863089868</v>
      </c>
    </row>
    <row r="1005" spans="1:2" ht="12.9" x14ac:dyDescent="0.35">
      <c r="A1005" s="401">
        <v>40824</v>
      </c>
      <c r="B1005" s="402">
        <v>9993294983292.0293</v>
      </c>
    </row>
    <row r="1006" spans="1:2" ht="12.9" x14ac:dyDescent="0.35">
      <c r="A1006" s="401">
        <v>40825</v>
      </c>
      <c r="B1006" s="402">
        <v>10665113133429.301</v>
      </c>
    </row>
    <row r="1007" spans="1:2" ht="12.9" x14ac:dyDescent="0.35">
      <c r="A1007" s="401">
        <v>40826</v>
      </c>
      <c r="B1007" s="402">
        <v>10329204058360.6</v>
      </c>
    </row>
    <row r="1008" spans="1:2" ht="12.9" x14ac:dyDescent="0.35">
      <c r="A1008" s="401">
        <v>40827</v>
      </c>
      <c r="B1008" s="402">
        <v>7809885995345.8701</v>
      </c>
    </row>
    <row r="1009" spans="1:2" ht="12.9" x14ac:dyDescent="0.35">
      <c r="A1009" s="401">
        <v>40828</v>
      </c>
      <c r="B1009" s="402">
        <v>10077272252059.1</v>
      </c>
    </row>
    <row r="1010" spans="1:2" ht="12.9" x14ac:dyDescent="0.35">
      <c r="A1010" s="401">
        <v>40829</v>
      </c>
      <c r="B1010" s="402">
        <v>8145795070414.5098</v>
      </c>
    </row>
    <row r="1011" spans="1:2" ht="12.9" x14ac:dyDescent="0.35">
      <c r="A1011" s="401">
        <v>40830</v>
      </c>
      <c r="B1011" s="402">
        <v>10144830285777.1</v>
      </c>
    </row>
    <row r="1012" spans="1:2" ht="12.9" x14ac:dyDescent="0.35">
      <c r="A1012" s="401">
        <v>40831</v>
      </c>
      <c r="B1012" s="402">
        <v>9779908333051.3301</v>
      </c>
    </row>
    <row r="1013" spans="1:2" ht="12.9" x14ac:dyDescent="0.35">
      <c r="A1013" s="401">
        <v>40832</v>
      </c>
      <c r="B1013" s="402">
        <v>8685142474873.9404</v>
      </c>
    </row>
    <row r="1014" spans="1:2" ht="12.9" x14ac:dyDescent="0.35">
      <c r="A1014" s="401">
        <v>40833</v>
      </c>
      <c r="B1014" s="402">
        <v>8612158084328.7803</v>
      </c>
    </row>
    <row r="1015" spans="1:2" ht="12.9" x14ac:dyDescent="0.35">
      <c r="A1015" s="401">
        <v>40834</v>
      </c>
      <c r="B1015" s="402">
        <v>8758126865419.0996</v>
      </c>
    </row>
    <row r="1016" spans="1:2" ht="12.9" x14ac:dyDescent="0.35">
      <c r="A1016" s="401">
        <v>40835</v>
      </c>
      <c r="B1016" s="402">
        <v>9706923942506.1699</v>
      </c>
    </row>
    <row r="1017" spans="1:2" ht="12.9" x14ac:dyDescent="0.35">
      <c r="A1017" s="401">
        <v>40836</v>
      </c>
      <c r="B1017" s="402">
        <v>8393204912693.2998</v>
      </c>
    </row>
    <row r="1018" spans="1:2" ht="12.9" x14ac:dyDescent="0.35">
      <c r="A1018" s="401">
        <v>40837</v>
      </c>
      <c r="B1018" s="402">
        <v>8831111255964.2598</v>
      </c>
    </row>
    <row r="1019" spans="1:2" ht="12.9" x14ac:dyDescent="0.35">
      <c r="A1019" s="401">
        <v>40838</v>
      </c>
      <c r="B1019" s="402">
        <v>7152470273425.5996</v>
      </c>
    </row>
    <row r="1020" spans="1:2" ht="12.9" x14ac:dyDescent="0.35">
      <c r="A1020" s="401">
        <v>40839</v>
      </c>
      <c r="B1020" s="402">
        <v>7882314178877.1904</v>
      </c>
    </row>
    <row r="1021" spans="1:2" ht="12.9" x14ac:dyDescent="0.35">
      <c r="A1021" s="401">
        <v>40840</v>
      </c>
      <c r="B1021" s="402">
        <v>9269017599235.2109</v>
      </c>
    </row>
    <row r="1022" spans="1:2" ht="12.9" x14ac:dyDescent="0.35">
      <c r="A1022" s="401">
        <v>40841</v>
      </c>
      <c r="B1022" s="402">
        <v>9414986380325.5293</v>
      </c>
    </row>
    <row r="1023" spans="1:2" ht="12.9" x14ac:dyDescent="0.35">
      <c r="A1023" s="401">
        <v>40842</v>
      </c>
      <c r="B1023" s="402">
        <v>8539173693783.6201</v>
      </c>
    </row>
    <row r="1024" spans="1:2" ht="12.9" x14ac:dyDescent="0.35">
      <c r="A1024" s="401">
        <v>40843</v>
      </c>
      <c r="B1024" s="402">
        <v>7298439054515.9199</v>
      </c>
    </row>
    <row r="1025" spans="1:2" ht="12.9" x14ac:dyDescent="0.35">
      <c r="A1025" s="401">
        <v>40844</v>
      </c>
      <c r="B1025" s="402">
        <v>7663361007241.71</v>
      </c>
    </row>
    <row r="1026" spans="1:2" ht="12.9" x14ac:dyDescent="0.35">
      <c r="A1026" s="401">
        <v>40845</v>
      </c>
      <c r="B1026" s="402">
        <v>8247236131602.9805</v>
      </c>
    </row>
    <row r="1027" spans="1:2" ht="12.9" x14ac:dyDescent="0.35">
      <c r="A1027" s="401">
        <v>40846</v>
      </c>
      <c r="B1027" s="402">
        <v>8101267350512.6699</v>
      </c>
    </row>
    <row r="1028" spans="1:2" ht="12.9" x14ac:dyDescent="0.35">
      <c r="A1028" s="401">
        <v>40847</v>
      </c>
      <c r="B1028" s="402">
        <v>7836998604789.3896</v>
      </c>
    </row>
    <row r="1029" spans="1:2" ht="12.9" x14ac:dyDescent="0.35">
      <c r="A1029" s="401">
        <v>40848</v>
      </c>
      <c r="B1029" s="402">
        <v>8973662524568</v>
      </c>
    </row>
    <row r="1030" spans="1:2" ht="12.9" x14ac:dyDescent="0.35">
      <c r="A1030" s="401">
        <v>40849</v>
      </c>
      <c r="B1030" s="402">
        <v>9212960191889.8203</v>
      </c>
    </row>
    <row r="1031" spans="1:2" ht="12.9" x14ac:dyDescent="0.35">
      <c r="A1031" s="401">
        <v>40850</v>
      </c>
      <c r="B1031" s="402">
        <v>7478052103806.6699</v>
      </c>
    </row>
    <row r="1032" spans="1:2" ht="12.9" x14ac:dyDescent="0.35">
      <c r="A1032" s="401">
        <v>40851</v>
      </c>
      <c r="B1032" s="402">
        <v>8794189274076.6396</v>
      </c>
    </row>
    <row r="1033" spans="1:2" ht="12.9" x14ac:dyDescent="0.35">
      <c r="A1033" s="401">
        <v>40852</v>
      </c>
      <c r="B1033" s="402">
        <v>8734364857246.1904</v>
      </c>
    </row>
    <row r="1034" spans="1:2" ht="12.9" x14ac:dyDescent="0.35">
      <c r="A1034" s="401">
        <v>40853</v>
      </c>
      <c r="B1034" s="402">
        <v>8614716023585.2803</v>
      </c>
    </row>
    <row r="1035" spans="1:2" ht="12.9" x14ac:dyDescent="0.35">
      <c r="A1035" s="401">
        <v>40854</v>
      </c>
      <c r="B1035" s="402">
        <v>7896823021619.8398</v>
      </c>
    </row>
    <row r="1036" spans="1:2" ht="12.9" x14ac:dyDescent="0.35">
      <c r="A1036" s="401">
        <v>40855</v>
      </c>
      <c r="B1036" s="402">
        <v>8913838107737.5508</v>
      </c>
    </row>
    <row r="1037" spans="1:2" ht="12.9" x14ac:dyDescent="0.35">
      <c r="A1037" s="401">
        <v>40856</v>
      </c>
      <c r="B1037" s="402">
        <v>9631731109702.9902</v>
      </c>
    </row>
    <row r="1038" spans="1:2" ht="12.9" x14ac:dyDescent="0.35">
      <c r="A1038" s="401">
        <v>40857</v>
      </c>
      <c r="B1038" s="402">
        <v>8435242773093.9199</v>
      </c>
    </row>
    <row r="1039" spans="1:2" ht="12.9" x14ac:dyDescent="0.35">
      <c r="A1039" s="401">
        <v>40858</v>
      </c>
      <c r="B1039" s="402">
        <v>7119105602823.9502</v>
      </c>
    </row>
    <row r="1040" spans="1:2" ht="12.9" x14ac:dyDescent="0.35">
      <c r="A1040" s="401">
        <v>40859</v>
      </c>
      <c r="B1040" s="402">
        <v>8554891606754.8301</v>
      </c>
    </row>
    <row r="1041" spans="1:2" ht="12.9" x14ac:dyDescent="0.35">
      <c r="A1041" s="401">
        <v>40860</v>
      </c>
      <c r="B1041" s="402">
        <v>8614716023585.2803</v>
      </c>
    </row>
    <row r="1042" spans="1:2" ht="12.9" x14ac:dyDescent="0.35">
      <c r="A1042" s="401">
        <v>40861</v>
      </c>
      <c r="B1042" s="402">
        <v>8476952009987.4102</v>
      </c>
    </row>
    <row r="1043" spans="1:2" ht="12.9" x14ac:dyDescent="0.35">
      <c r="A1043" s="401">
        <v>40862</v>
      </c>
      <c r="B1043" s="402">
        <v>9781098473062.4004</v>
      </c>
    </row>
    <row r="1044" spans="1:2" ht="12.9" x14ac:dyDescent="0.35">
      <c r="A1044" s="401">
        <v>40863</v>
      </c>
      <c r="B1044" s="402">
        <v>8002716932505.5996</v>
      </c>
    </row>
    <row r="1045" spans="1:2" ht="12.9" x14ac:dyDescent="0.35">
      <c r="A1045" s="401">
        <v>40864</v>
      </c>
      <c r="B1045" s="402">
        <v>8239834471246.5</v>
      </c>
    </row>
    <row r="1046" spans="1:2" ht="12.9" x14ac:dyDescent="0.35">
      <c r="A1046" s="401">
        <v>40865</v>
      </c>
      <c r="B1046" s="402">
        <v>7884158163135.1396</v>
      </c>
    </row>
    <row r="1047" spans="1:2" ht="12.9" x14ac:dyDescent="0.35">
      <c r="A1047" s="401">
        <v>40866</v>
      </c>
      <c r="B1047" s="402">
        <v>7291364316282.8799</v>
      </c>
    </row>
    <row r="1048" spans="1:2" ht="12.9" x14ac:dyDescent="0.35">
      <c r="A1048" s="401">
        <v>40867</v>
      </c>
      <c r="B1048" s="402">
        <v>8476952009987.4102</v>
      </c>
    </row>
    <row r="1049" spans="1:2" ht="12.9" x14ac:dyDescent="0.35">
      <c r="A1049" s="401">
        <v>40868</v>
      </c>
      <c r="B1049" s="402">
        <v>6994967392856.7402</v>
      </c>
    </row>
    <row r="1050" spans="1:2" ht="12.9" x14ac:dyDescent="0.35">
      <c r="A1050" s="401">
        <v>40869</v>
      </c>
      <c r="B1050" s="402">
        <v>8299113855931.7305</v>
      </c>
    </row>
    <row r="1051" spans="1:2" ht="12.9" x14ac:dyDescent="0.35">
      <c r="A1051" s="401">
        <v>40870</v>
      </c>
      <c r="B1051" s="402">
        <v>7943437547820.3701</v>
      </c>
    </row>
    <row r="1052" spans="1:2" ht="12.9" x14ac:dyDescent="0.35">
      <c r="A1052" s="401">
        <v>40871</v>
      </c>
      <c r="B1052" s="402">
        <v>6698570469430.6104</v>
      </c>
    </row>
    <row r="1053" spans="1:2" ht="12.9" x14ac:dyDescent="0.35">
      <c r="A1053" s="401">
        <v>40872</v>
      </c>
      <c r="B1053" s="402">
        <v>8002716932505.5996</v>
      </c>
    </row>
    <row r="1054" spans="1:2" ht="12.9" x14ac:dyDescent="0.35">
      <c r="A1054" s="401">
        <v>40873</v>
      </c>
      <c r="B1054" s="402">
        <v>7113526162227.2002</v>
      </c>
    </row>
    <row r="1055" spans="1:2" ht="12.9" x14ac:dyDescent="0.35">
      <c r="A1055" s="401">
        <v>40874</v>
      </c>
      <c r="B1055" s="402">
        <v>6757849854115.8398</v>
      </c>
    </row>
    <row r="1056" spans="1:2" ht="12.9" x14ac:dyDescent="0.35">
      <c r="A1056" s="401">
        <v>40875</v>
      </c>
      <c r="B1056" s="402">
        <v>7528481855023.7803</v>
      </c>
    </row>
    <row r="1057" spans="1:2" ht="12.9" x14ac:dyDescent="0.35">
      <c r="A1057" s="401">
        <v>40876</v>
      </c>
      <c r="B1057" s="402">
        <v>8180555086561.2803</v>
      </c>
    </row>
    <row r="1058" spans="1:2" ht="12.9" x14ac:dyDescent="0.35">
      <c r="A1058" s="401">
        <v>40877</v>
      </c>
      <c r="B1058" s="402">
        <v>8783602827814.5</v>
      </c>
    </row>
    <row r="1059" spans="1:2" ht="12.9" x14ac:dyDescent="0.35">
      <c r="A1059" s="401">
        <v>40878</v>
      </c>
      <c r="B1059" s="402">
        <v>9867998238655.7891</v>
      </c>
    </row>
    <row r="1060" spans="1:2" ht="12.9" x14ac:dyDescent="0.35">
      <c r="A1060" s="401">
        <v>40879</v>
      </c>
      <c r="B1060" s="402">
        <v>7916086499141.46</v>
      </c>
    </row>
    <row r="1061" spans="1:2" ht="12.9" x14ac:dyDescent="0.35">
      <c r="A1061" s="401">
        <v>40880</v>
      </c>
      <c r="B1061" s="402">
        <v>8241405122393.8496</v>
      </c>
    </row>
    <row r="1062" spans="1:2" ht="12.9" x14ac:dyDescent="0.35">
      <c r="A1062" s="401">
        <v>40881</v>
      </c>
      <c r="B1062" s="402">
        <v>7373888793720.8096</v>
      </c>
    </row>
    <row r="1063" spans="1:2" ht="12.9" x14ac:dyDescent="0.35">
      <c r="A1063" s="401">
        <v>40882</v>
      </c>
      <c r="B1063" s="402">
        <v>8566723745646.2402</v>
      </c>
    </row>
    <row r="1064" spans="1:2" ht="12.9" x14ac:dyDescent="0.35">
      <c r="A1064" s="401">
        <v>40883</v>
      </c>
      <c r="B1064" s="402">
        <v>9271580762693.0801</v>
      </c>
    </row>
    <row r="1065" spans="1:2" ht="12.9" x14ac:dyDescent="0.35">
      <c r="A1065" s="401">
        <v>40884</v>
      </c>
      <c r="B1065" s="402">
        <v>7482328334804.9404</v>
      </c>
    </row>
    <row r="1066" spans="1:2" ht="12.9" x14ac:dyDescent="0.35">
      <c r="A1066" s="401">
        <v>40885</v>
      </c>
      <c r="B1066" s="402">
        <v>8892042368898.6309</v>
      </c>
    </row>
    <row r="1067" spans="1:2" ht="12.9" x14ac:dyDescent="0.35">
      <c r="A1067" s="401">
        <v>40886</v>
      </c>
      <c r="B1067" s="402">
        <v>7970306269683.5195</v>
      </c>
    </row>
    <row r="1068" spans="1:2" ht="12.9" x14ac:dyDescent="0.35">
      <c r="A1068" s="401">
        <v>40887</v>
      </c>
      <c r="B1068" s="402">
        <v>7807646958057.3301</v>
      </c>
    </row>
    <row r="1069" spans="1:2" ht="12.9" x14ac:dyDescent="0.35">
      <c r="A1069" s="401">
        <v>40888</v>
      </c>
      <c r="B1069" s="402">
        <v>8241405122393.8496</v>
      </c>
    </row>
    <row r="1070" spans="1:2" ht="12.9" x14ac:dyDescent="0.35">
      <c r="A1070" s="401">
        <v>40889</v>
      </c>
      <c r="B1070" s="402">
        <v>6885910858842.2305</v>
      </c>
    </row>
    <row r="1071" spans="1:2" ht="12.9" x14ac:dyDescent="0.35">
      <c r="A1071" s="401">
        <v>40890</v>
      </c>
      <c r="B1071" s="402">
        <v>7579079246072.1602</v>
      </c>
    </row>
    <row r="1072" spans="1:2" ht="12.9" x14ac:dyDescent="0.35">
      <c r="A1072" s="401">
        <v>40891</v>
      </c>
      <c r="B1072" s="402">
        <v>8784841853401.8203</v>
      </c>
    </row>
    <row r="1073" spans="1:2" ht="12.9" x14ac:dyDescent="0.35">
      <c r="A1073" s="401">
        <v>40892</v>
      </c>
      <c r="B1073" s="402">
        <v>6430733905758.1904</v>
      </c>
    </row>
    <row r="1074" spans="1:2" ht="12.9" x14ac:dyDescent="0.35">
      <c r="A1074" s="401">
        <v>40893</v>
      </c>
      <c r="B1074" s="402">
        <v>6775237507852.3799</v>
      </c>
    </row>
    <row r="1075" spans="1:2" ht="12.9" x14ac:dyDescent="0.35">
      <c r="A1075" s="401">
        <v>40894</v>
      </c>
      <c r="B1075" s="402">
        <v>8612590052354.7305</v>
      </c>
    </row>
    <row r="1076" spans="1:2" ht="12.9" x14ac:dyDescent="0.35">
      <c r="A1076" s="401">
        <v>40895</v>
      </c>
      <c r="B1076" s="402">
        <v>8268086450260.54</v>
      </c>
    </row>
    <row r="1077" spans="1:2" ht="12.9" x14ac:dyDescent="0.35">
      <c r="A1077" s="401">
        <v>40896</v>
      </c>
      <c r="B1077" s="402">
        <v>9129345455496.0098</v>
      </c>
    </row>
    <row r="1078" spans="1:2" ht="12.9" x14ac:dyDescent="0.35">
      <c r="A1078" s="401">
        <v>40897</v>
      </c>
      <c r="B1078" s="402">
        <v>7693913780103.5596</v>
      </c>
    </row>
    <row r="1079" spans="1:2" ht="12.9" x14ac:dyDescent="0.35">
      <c r="A1079" s="401">
        <v>40898</v>
      </c>
      <c r="B1079" s="402">
        <v>8555172785339.0303</v>
      </c>
    </row>
    <row r="1080" spans="1:2" ht="12.9" x14ac:dyDescent="0.35">
      <c r="A1080" s="401">
        <v>40899</v>
      </c>
      <c r="B1080" s="402">
        <v>8497755518323.3301</v>
      </c>
    </row>
    <row r="1081" spans="1:2" ht="12.9" x14ac:dyDescent="0.35">
      <c r="A1081" s="401">
        <v>40900</v>
      </c>
      <c r="B1081" s="402">
        <v>8153251916229.1396</v>
      </c>
    </row>
    <row r="1082" spans="1:2" ht="12.9" x14ac:dyDescent="0.35">
      <c r="A1082" s="401">
        <v>40901</v>
      </c>
      <c r="B1082" s="402">
        <v>8325503717276.2402</v>
      </c>
    </row>
    <row r="1083" spans="1:2" ht="12.9" x14ac:dyDescent="0.35">
      <c r="A1083" s="401">
        <v>40902</v>
      </c>
      <c r="B1083" s="402">
        <v>9990604460731.4805</v>
      </c>
    </row>
    <row r="1084" spans="1:2" ht="12.9" x14ac:dyDescent="0.35">
      <c r="A1084" s="401">
        <v>40903</v>
      </c>
      <c r="B1084" s="402">
        <v>10162856261778.5</v>
      </c>
    </row>
    <row r="1085" spans="1:2" ht="12.9" x14ac:dyDescent="0.35">
      <c r="A1085" s="401">
        <v>40904</v>
      </c>
      <c r="B1085" s="402">
        <v>8360759166848.4404</v>
      </c>
    </row>
    <row r="1086" spans="1:2" ht="12.9" x14ac:dyDescent="0.35">
      <c r="A1086" s="401">
        <v>40905</v>
      </c>
      <c r="B1086" s="402">
        <v>8937363247320.75</v>
      </c>
    </row>
    <row r="1087" spans="1:2" ht="12.9" x14ac:dyDescent="0.35">
      <c r="A1087" s="401">
        <v>40906</v>
      </c>
      <c r="B1087" s="402">
        <v>7957136310517.8301</v>
      </c>
    </row>
    <row r="1088" spans="1:2" ht="12.9" x14ac:dyDescent="0.35">
      <c r="A1088" s="401">
        <v>40907</v>
      </c>
      <c r="B1088" s="402">
        <v>8187777942706.75</v>
      </c>
    </row>
    <row r="1089" spans="1:2" ht="12.9" x14ac:dyDescent="0.35">
      <c r="A1089" s="401">
        <v>40908</v>
      </c>
      <c r="B1089" s="402">
        <v>8706721615131.8301</v>
      </c>
    </row>
    <row r="1090" spans="1:2" ht="12.9" x14ac:dyDescent="0.35">
      <c r="A1090" s="401">
        <v>40909</v>
      </c>
      <c r="B1090" s="402">
        <v>8822042431226.2891</v>
      </c>
    </row>
    <row r="1091" spans="1:2" ht="12.9" x14ac:dyDescent="0.35">
      <c r="A1091" s="401">
        <v>40910</v>
      </c>
      <c r="B1091" s="402">
        <v>8706721615131.8301</v>
      </c>
    </row>
    <row r="1092" spans="1:2" ht="12.9" x14ac:dyDescent="0.35">
      <c r="A1092" s="401">
        <v>40911</v>
      </c>
      <c r="B1092" s="402">
        <v>9168004879509.6699</v>
      </c>
    </row>
    <row r="1093" spans="1:2" ht="12.9" x14ac:dyDescent="0.35">
      <c r="A1093" s="401">
        <v>40912</v>
      </c>
      <c r="B1093" s="402">
        <v>8591400799037.3701</v>
      </c>
    </row>
    <row r="1094" spans="1:2" ht="12.9" x14ac:dyDescent="0.35">
      <c r="A1094" s="401">
        <v>40913</v>
      </c>
      <c r="B1094" s="402">
        <v>8476079982942.9004</v>
      </c>
    </row>
    <row r="1095" spans="1:2" ht="12.9" x14ac:dyDescent="0.35">
      <c r="A1095" s="401">
        <v>40914</v>
      </c>
      <c r="B1095" s="402">
        <v>9859929776076.4395</v>
      </c>
    </row>
    <row r="1096" spans="1:2" ht="12.9" x14ac:dyDescent="0.35">
      <c r="A1096" s="401">
        <v>40915</v>
      </c>
      <c r="B1096" s="402">
        <v>10609515080690.4</v>
      </c>
    </row>
    <row r="1097" spans="1:2" ht="12.9" x14ac:dyDescent="0.35">
      <c r="A1097" s="401">
        <v>40916</v>
      </c>
      <c r="B1097" s="402">
        <v>9398646511698.5996</v>
      </c>
    </row>
    <row r="1098" spans="1:2" ht="12.9" x14ac:dyDescent="0.35">
      <c r="A1098" s="401">
        <v>40917</v>
      </c>
      <c r="B1098" s="402">
        <v>10196782729313.801</v>
      </c>
    </row>
    <row r="1099" spans="1:2" ht="12.9" x14ac:dyDescent="0.35">
      <c r="A1099" s="401">
        <v>40918</v>
      </c>
      <c r="B1099" s="402">
        <v>8766746127032.0596</v>
      </c>
    </row>
    <row r="1100" spans="1:2" ht="12.9" x14ac:dyDescent="0.35">
      <c r="A1100" s="401">
        <v>40919</v>
      </c>
      <c r="B1100" s="402">
        <v>9512852180396.4902</v>
      </c>
    </row>
    <row r="1101" spans="1:2" ht="12.9" x14ac:dyDescent="0.35">
      <c r="A1101" s="401">
        <v>40920</v>
      </c>
      <c r="B1101" s="402">
        <v>9637203189290.5605</v>
      </c>
    </row>
    <row r="1102" spans="1:2" ht="12.9" x14ac:dyDescent="0.35">
      <c r="A1102" s="401">
        <v>40921</v>
      </c>
      <c r="B1102" s="402">
        <v>8704570622585.0303</v>
      </c>
    </row>
    <row r="1103" spans="1:2" ht="12.9" x14ac:dyDescent="0.35">
      <c r="A1103" s="401">
        <v>40922</v>
      </c>
      <c r="B1103" s="402">
        <v>9326325667055.3809</v>
      </c>
    </row>
    <row r="1104" spans="1:2" ht="12.9" x14ac:dyDescent="0.35">
      <c r="A1104" s="401">
        <v>40923</v>
      </c>
      <c r="B1104" s="402">
        <v>8642395118137.9902</v>
      </c>
    </row>
    <row r="1105" spans="1:2" ht="12.9" x14ac:dyDescent="0.35">
      <c r="A1105" s="401">
        <v>40924</v>
      </c>
      <c r="B1105" s="402">
        <v>10880713278231.199</v>
      </c>
    </row>
    <row r="1106" spans="1:2" ht="12.9" x14ac:dyDescent="0.35">
      <c r="A1106" s="401">
        <v>40925</v>
      </c>
      <c r="B1106" s="402">
        <v>9761554198184.6406</v>
      </c>
    </row>
    <row r="1107" spans="1:2" ht="12.9" x14ac:dyDescent="0.35">
      <c r="A1107" s="401">
        <v>40926</v>
      </c>
      <c r="B1107" s="402">
        <v>7958464569220.5898</v>
      </c>
    </row>
    <row r="1108" spans="1:2" ht="12.9" x14ac:dyDescent="0.35">
      <c r="A1108" s="401">
        <v>40927</v>
      </c>
      <c r="B1108" s="402">
        <v>9326325667055.3809</v>
      </c>
    </row>
    <row r="1109" spans="1:2" ht="12.9" x14ac:dyDescent="0.35">
      <c r="A1109" s="401">
        <v>40928</v>
      </c>
      <c r="B1109" s="402">
        <v>9015448144820.1992</v>
      </c>
    </row>
    <row r="1110" spans="1:2" ht="12.9" x14ac:dyDescent="0.35">
      <c r="A1110" s="401">
        <v>40929</v>
      </c>
      <c r="B1110" s="402">
        <v>10196782729313.801</v>
      </c>
    </row>
    <row r="1111" spans="1:2" ht="12.9" x14ac:dyDescent="0.35">
      <c r="A1111" s="401">
        <v>40930</v>
      </c>
      <c r="B1111" s="402">
        <v>8841024002156.8105</v>
      </c>
    </row>
    <row r="1112" spans="1:2" ht="12.9" x14ac:dyDescent="0.35">
      <c r="A1112" s="401">
        <v>40931</v>
      </c>
      <c r="B1112" s="402">
        <v>11051280002696</v>
      </c>
    </row>
    <row r="1113" spans="1:2" ht="12.9" x14ac:dyDescent="0.35">
      <c r="A1113" s="401">
        <v>40932</v>
      </c>
      <c r="B1113" s="402">
        <v>9036046590439.6797</v>
      </c>
    </row>
    <row r="1114" spans="1:2" ht="12.9" x14ac:dyDescent="0.35">
      <c r="A1114" s="401">
        <v>40933</v>
      </c>
      <c r="B1114" s="402">
        <v>9621114355288.2891</v>
      </c>
    </row>
    <row r="1115" spans="1:2" ht="12.9" x14ac:dyDescent="0.35">
      <c r="A1115" s="401">
        <v>40934</v>
      </c>
      <c r="B1115" s="402">
        <v>8971039061012.0605</v>
      </c>
    </row>
    <row r="1116" spans="1:2" ht="12.9" x14ac:dyDescent="0.35">
      <c r="A1116" s="401">
        <v>40935</v>
      </c>
      <c r="B1116" s="402">
        <v>9166061649294.9297</v>
      </c>
    </row>
    <row r="1117" spans="1:2" ht="12.9" x14ac:dyDescent="0.35">
      <c r="A1117" s="401">
        <v>40936</v>
      </c>
      <c r="B1117" s="402">
        <v>9426091767005.4199</v>
      </c>
    </row>
    <row r="1118" spans="1:2" ht="12.9" x14ac:dyDescent="0.35">
      <c r="A1118" s="401">
        <v>40937</v>
      </c>
      <c r="B1118" s="402">
        <v>10856257414413.1</v>
      </c>
    </row>
    <row r="1119" spans="1:2" ht="12.9" x14ac:dyDescent="0.35">
      <c r="A1119" s="401">
        <v>40938</v>
      </c>
      <c r="B1119" s="402">
        <v>11181295061551.199</v>
      </c>
    </row>
    <row r="1120" spans="1:2" ht="12.9" x14ac:dyDescent="0.35">
      <c r="A1120" s="401">
        <v>40939</v>
      </c>
      <c r="B1120" s="402">
        <v>9751129414143.5391</v>
      </c>
    </row>
    <row r="1121" spans="1:2" ht="12.9" x14ac:dyDescent="0.35">
      <c r="A1121" s="401">
        <v>40940</v>
      </c>
      <c r="B1121" s="402">
        <v>9166061649294.9297</v>
      </c>
    </row>
    <row r="1122" spans="1:2" ht="12.9" x14ac:dyDescent="0.35">
      <c r="A1122" s="401">
        <v>40941</v>
      </c>
      <c r="B1122" s="402">
        <v>10336197178992.1</v>
      </c>
    </row>
    <row r="1123" spans="1:2" ht="12.9" x14ac:dyDescent="0.35">
      <c r="A1123" s="401">
        <v>40942</v>
      </c>
      <c r="B1123" s="402">
        <v>10271189649564.5</v>
      </c>
    </row>
    <row r="1124" spans="1:2" ht="12.9" x14ac:dyDescent="0.35">
      <c r="A1124" s="401">
        <v>40943</v>
      </c>
      <c r="B1124" s="402">
        <v>10767475451283.301</v>
      </c>
    </row>
    <row r="1125" spans="1:2" ht="12.9" x14ac:dyDescent="0.35">
      <c r="A1125" s="401">
        <v>40944</v>
      </c>
      <c r="B1125" s="402">
        <v>9738735758485.5508</v>
      </c>
    </row>
    <row r="1126" spans="1:2" ht="12.9" x14ac:dyDescent="0.35">
      <c r="A1126" s="401">
        <v>40945</v>
      </c>
      <c r="B1126" s="402">
        <v>10013066343231.6</v>
      </c>
    </row>
    <row r="1127" spans="1:2" ht="12.9" x14ac:dyDescent="0.35">
      <c r="A1127" s="401">
        <v>40946</v>
      </c>
      <c r="B1127" s="402">
        <v>9395822527552.9609</v>
      </c>
    </row>
    <row r="1128" spans="1:2" ht="12.9" x14ac:dyDescent="0.35">
      <c r="A1128" s="401">
        <v>40947</v>
      </c>
      <c r="B1128" s="402">
        <v>9944483697045.1094</v>
      </c>
    </row>
    <row r="1129" spans="1:2" ht="12.9" x14ac:dyDescent="0.35">
      <c r="A1129" s="401">
        <v>40948</v>
      </c>
      <c r="B1129" s="402">
        <v>9944483697045.1094</v>
      </c>
    </row>
    <row r="1130" spans="1:2" ht="12.9" x14ac:dyDescent="0.35">
      <c r="A1130" s="401">
        <v>40949</v>
      </c>
      <c r="B1130" s="402">
        <v>9464405173739.4805</v>
      </c>
    </row>
    <row r="1131" spans="1:2" ht="12.9" x14ac:dyDescent="0.35">
      <c r="A1131" s="401">
        <v>40950</v>
      </c>
      <c r="B1131" s="402">
        <v>10287396927977.699</v>
      </c>
    </row>
    <row r="1132" spans="1:2" ht="12.9" x14ac:dyDescent="0.35">
      <c r="A1132" s="401">
        <v>40951</v>
      </c>
      <c r="B1132" s="402">
        <v>10836058097469.801</v>
      </c>
    </row>
    <row r="1133" spans="1:2" ht="12.9" x14ac:dyDescent="0.35">
      <c r="A1133" s="401">
        <v>40952</v>
      </c>
      <c r="B1133" s="402">
        <v>9395822527552.9609</v>
      </c>
    </row>
    <row r="1134" spans="1:2" ht="12.9" x14ac:dyDescent="0.35">
      <c r="A1134" s="401">
        <v>40953</v>
      </c>
      <c r="B1134" s="402">
        <v>9464405173739.4805</v>
      </c>
    </row>
    <row r="1135" spans="1:2" ht="12.9" x14ac:dyDescent="0.35">
      <c r="A1135" s="401">
        <v>40954</v>
      </c>
      <c r="B1135" s="402">
        <v>9190074588993.4102</v>
      </c>
    </row>
    <row r="1136" spans="1:2" ht="12.9" x14ac:dyDescent="0.35">
      <c r="A1136" s="401">
        <v>40955</v>
      </c>
      <c r="B1136" s="402">
        <v>9464405173739.4805</v>
      </c>
    </row>
    <row r="1137" spans="1:2" ht="12.9" x14ac:dyDescent="0.35">
      <c r="A1137" s="401">
        <v>40956</v>
      </c>
      <c r="B1137" s="402">
        <v>10424562220350.699</v>
      </c>
    </row>
    <row r="1138" spans="1:2" ht="12.9" x14ac:dyDescent="0.35">
      <c r="A1138" s="401">
        <v>40957</v>
      </c>
      <c r="B1138" s="402">
        <v>11699197018639.699</v>
      </c>
    </row>
    <row r="1139" spans="1:2" ht="12.9" x14ac:dyDescent="0.35">
      <c r="A1139" s="401">
        <v>40958</v>
      </c>
      <c r="B1139" s="402">
        <v>10809784379795.801</v>
      </c>
    </row>
    <row r="1140" spans="1:2" ht="12.9" x14ac:dyDescent="0.35">
      <c r="A1140" s="401">
        <v>40959</v>
      </c>
      <c r="B1140" s="402">
        <v>9578289956781.1094</v>
      </c>
    </row>
    <row r="1141" spans="1:2" ht="12.9" x14ac:dyDescent="0.35">
      <c r="A1141" s="401">
        <v>40960</v>
      </c>
      <c r="B1141" s="402">
        <v>8825710031605.4492</v>
      </c>
    </row>
    <row r="1142" spans="1:2" ht="12.9" x14ac:dyDescent="0.35">
      <c r="A1142" s="401">
        <v>40961</v>
      </c>
      <c r="B1142" s="402">
        <v>10878200736629.9</v>
      </c>
    </row>
    <row r="1143" spans="1:2" ht="12.9" x14ac:dyDescent="0.35">
      <c r="A1143" s="401">
        <v>40962</v>
      </c>
      <c r="B1143" s="402">
        <v>11357115234469</v>
      </c>
    </row>
    <row r="1144" spans="1:2" ht="12.9" x14ac:dyDescent="0.35">
      <c r="A1144" s="401">
        <v>40963</v>
      </c>
      <c r="B1144" s="402">
        <v>10194037168288.4</v>
      </c>
    </row>
    <row r="1145" spans="1:2" ht="12.9" x14ac:dyDescent="0.35">
      <c r="A1145" s="401">
        <v>40964</v>
      </c>
      <c r="B1145" s="402">
        <v>11288698877634.801</v>
      </c>
    </row>
    <row r="1146" spans="1:2" ht="12.9" x14ac:dyDescent="0.35">
      <c r="A1146" s="401">
        <v>40965</v>
      </c>
      <c r="B1146" s="402">
        <v>10262453525122.6</v>
      </c>
    </row>
    <row r="1147" spans="1:2" ht="12.9" x14ac:dyDescent="0.35">
      <c r="A1147" s="401">
        <v>40966</v>
      </c>
      <c r="B1147" s="402">
        <v>10536118952459.199</v>
      </c>
    </row>
    <row r="1148" spans="1:2" ht="12.9" x14ac:dyDescent="0.35">
      <c r="A1148" s="401">
        <v>40967</v>
      </c>
      <c r="B1148" s="402">
        <v>10946617093464.1</v>
      </c>
    </row>
    <row r="1149" spans="1:2" ht="12.9" x14ac:dyDescent="0.35">
      <c r="A1149" s="401">
        <v>40968</v>
      </c>
      <c r="B1149" s="402">
        <v>12246527873312.9</v>
      </c>
    </row>
    <row r="1150" spans="1:2" ht="12.9" x14ac:dyDescent="0.35">
      <c r="A1150" s="401">
        <v>40969</v>
      </c>
      <c r="B1150" s="402">
        <v>10330869881956.699</v>
      </c>
    </row>
    <row r="1151" spans="1:2" ht="12.9" x14ac:dyDescent="0.35">
      <c r="A1151" s="401">
        <v>40970</v>
      </c>
      <c r="B1151" s="402">
        <v>9971638084689.3691</v>
      </c>
    </row>
    <row r="1152" spans="1:2" ht="12.9" x14ac:dyDescent="0.35">
      <c r="A1152" s="401">
        <v>40971</v>
      </c>
      <c r="B1152" s="402">
        <v>8408918683357.4502</v>
      </c>
    </row>
    <row r="1153" spans="1:2" ht="12.9" x14ac:dyDescent="0.35">
      <c r="A1153" s="401">
        <v>40972</v>
      </c>
      <c r="B1153" s="402">
        <v>10194883713451</v>
      </c>
    </row>
    <row r="1154" spans="1:2" ht="12.9" x14ac:dyDescent="0.35">
      <c r="A1154" s="401">
        <v>40973</v>
      </c>
      <c r="B1154" s="402">
        <v>10790205390148.9</v>
      </c>
    </row>
    <row r="1155" spans="1:2" ht="12.9" x14ac:dyDescent="0.35">
      <c r="A1155" s="401">
        <v>40974</v>
      </c>
      <c r="B1155" s="402">
        <v>10194883713451</v>
      </c>
    </row>
    <row r="1156" spans="1:2" ht="12.9" x14ac:dyDescent="0.35">
      <c r="A1156" s="401">
        <v>40975</v>
      </c>
      <c r="B1156" s="402">
        <v>11459942276434</v>
      </c>
    </row>
    <row r="1157" spans="1:2" ht="12.9" x14ac:dyDescent="0.35">
      <c r="A1157" s="401">
        <v>40976</v>
      </c>
      <c r="B1157" s="402">
        <v>11608772695608.5</v>
      </c>
    </row>
    <row r="1158" spans="1:2" ht="12.9" x14ac:dyDescent="0.35">
      <c r="A1158" s="401">
        <v>40977</v>
      </c>
      <c r="B1158" s="402">
        <v>12501755210655.301</v>
      </c>
    </row>
    <row r="1159" spans="1:2" ht="12.9" x14ac:dyDescent="0.35">
      <c r="A1159" s="401">
        <v>40978</v>
      </c>
      <c r="B1159" s="402">
        <v>12278509581893.6</v>
      </c>
    </row>
    <row r="1160" spans="1:2" ht="12.9" x14ac:dyDescent="0.35">
      <c r="A1160" s="401">
        <v>40979</v>
      </c>
      <c r="B1160" s="402">
        <v>9971638084689.3691</v>
      </c>
    </row>
    <row r="1161" spans="1:2" ht="12.9" x14ac:dyDescent="0.35">
      <c r="A1161" s="401">
        <v>40980</v>
      </c>
      <c r="B1161" s="402">
        <v>12352924791480.801</v>
      </c>
    </row>
    <row r="1162" spans="1:2" ht="12.9" x14ac:dyDescent="0.35">
      <c r="A1162" s="401">
        <v>40981</v>
      </c>
      <c r="B1162" s="402">
        <v>11906433533957.4</v>
      </c>
    </row>
    <row r="1163" spans="1:2" ht="12.9" x14ac:dyDescent="0.35">
      <c r="A1163" s="401">
        <v>40982</v>
      </c>
      <c r="B1163" s="402">
        <v>10194883713451</v>
      </c>
    </row>
    <row r="1164" spans="1:2" ht="12.9" x14ac:dyDescent="0.35">
      <c r="A1164" s="401">
        <v>40983</v>
      </c>
      <c r="B1164" s="402">
        <v>9004240360055.3301</v>
      </c>
    </row>
    <row r="1165" spans="1:2" ht="12.9" x14ac:dyDescent="0.35">
      <c r="A1165" s="401">
        <v>40984</v>
      </c>
      <c r="B1165" s="402">
        <v>11395534365700.4</v>
      </c>
    </row>
    <row r="1166" spans="1:2" ht="12.9" x14ac:dyDescent="0.35">
      <c r="A1166" s="401">
        <v>40985</v>
      </c>
      <c r="B1166" s="402">
        <v>12661704850778.301</v>
      </c>
    </row>
    <row r="1167" spans="1:2" ht="12.9" x14ac:dyDescent="0.35">
      <c r="A1167" s="401">
        <v>40986</v>
      </c>
      <c r="B1167" s="402">
        <v>11916898683085.4</v>
      </c>
    </row>
    <row r="1168" spans="1:2" ht="12.9" x14ac:dyDescent="0.35">
      <c r="A1168" s="401">
        <v>40987</v>
      </c>
      <c r="B1168" s="402">
        <v>10650728198007.6</v>
      </c>
    </row>
    <row r="1169" spans="1:2" ht="12.9" x14ac:dyDescent="0.35">
      <c r="A1169" s="401">
        <v>40988</v>
      </c>
      <c r="B1169" s="402">
        <v>11916898683085.4</v>
      </c>
    </row>
    <row r="1170" spans="1:2" ht="12.9" x14ac:dyDescent="0.35">
      <c r="A1170" s="401">
        <v>40989</v>
      </c>
      <c r="B1170" s="402">
        <v>11767937449546.801</v>
      </c>
    </row>
    <row r="1171" spans="1:2" ht="12.9" x14ac:dyDescent="0.35">
      <c r="A1171" s="401">
        <v>40990</v>
      </c>
      <c r="B1171" s="402">
        <v>11767937449546.801</v>
      </c>
    </row>
    <row r="1172" spans="1:2" ht="12.9" x14ac:dyDescent="0.35">
      <c r="A1172" s="401">
        <v>40991</v>
      </c>
      <c r="B1172" s="402">
        <v>9384557712929.8008</v>
      </c>
    </row>
    <row r="1173" spans="1:2" ht="12.9" x14ac:dyDescent="0.35">
      <c r="A1173" s="401">
        <v>40992</v>
      </c>
      <c r="B1173" s="402">
        <v>13704433485548.199</v>
      </c>
    </row>
    <row r="1174" spans="1:2" ht="12.9" x14ac:dyDescent="0.35">
      <c r="A1174" s="401">
        <v>40993</v>
      </c>
      <c r="B1174" s="402">
        <v>11693456832777.6</v>
      </c>
    </row>
    <row r="1175" spans="1:2" ht="12.9" x14ac:dyDescent="0.35">
      <c r="A1175" s="401">
        <v>40994</v>
      </c>
      <c r="B1175" s="402">
        <v>11246573132161.9</v>
      </c>
    </row>
    <row r="1176" spans="1:2" ht="12.9" x14ac:dyDescent="0.35">
      <c r="A1176" s="401">
        <v>40995</v>
      </c>
      <c r="B1176" s="402">
        <v>11618976216008.301</v>
      </c>
    </row>
    <row r="1177" spans="1:2" ht="12.9" x14ac:dyDescent="0.35">
      <c r="A1177" s="401">
        <v>40996</v>
      </c>
      <c r="B1177" s="402">
        <v>11172092515392.6</v>
      </c>
    </row>
    <row r="1178" spans="1:2" ht="12.9" x14ac:dyDescent="0.35">
      <c r="A1178" s="401">
        <v>40997</v>
      </c>
      <c r="B1178" s="402">
        <v>11400754107160.6</v>
      </c>
    </row>
    <row r="1179" spans="1:2" ht="12.9" x14ac:dyDescent="0.35">
      <c r="A1179" s="401">
        <v>40998</v>
      </c>
      <c r="B1179" s="402">
        <v>12451887464558.4</v>
      </c>
    </row>
    <row r="1180" spans="1:2" ht="12.9" x14ac:dyDescent="0.35">
      <c r="A1180" s="401">
        <v>40999</v>
      </c>
      <c r="B1180" s="402">
        <v>13745590058278.801</v>
      </c>
    </row>
    <row r="1181" spans="1:2" ht="12.9" x14ac:dyDescent="0.35">
      <c r="A1181" s="401">
        <v>41000</v>
      </c>
      <c r="B1181" s="402">
        <v>11481610519268.199</v>
      </c>
    </row>
    <row r="1182" spans="1:2" ht="12.9" x14ac:dyDescent="0.35">
      <c r="A1182" s="401">
        <v>41001</v>
      </c>
      <c r="B1182" s="402">
        <v>9379343804472.6191</v>
      </c>
    </row>
    <row r="1183" spans="1:2" ht="12.9" x14ac:dyDescent="0.35">
      <c r="A1183" s="401">
        <v>41002</v>
      </c>
      <c r="B1183" s="402">
        <v>10753902810300.5</v>
      </c>
    </row>
    <row r="1184" spans="1:2" ht="12.9" x14ac:dyDescent="0.35">
      <c r="A1184" s="401">
        <v>41003</v>
      </c>
      <c r="B1184" s="402">
        <v>11077328458730.6</v>
      </c>
    </row>
    <row r="1185" spans="1:2" ht="12.9" x14ac:dyDescent="0.35">
      <c r="A1185" s="401">
        <v>41004</v>
      </c>
      <c r="B1185" s="402">
        <v>9460200216580.1504</v>
      </c>
    </row>
    <row r="1186" spans="1:2" ht="12.9" x14ac:dyDescent="0.35">
      <c r="A1186" s="401">
        <v>41005</v>
      </c>
      <c r="B1186" s="402">
        <v>10996472046623</v>
      </c>
    </row>
    <row r="1187" spans="1:2" ht="12.9" x14ac:dyDescent="0.35">
      <c r="A1187" s="401">
        <v>41006</v>
      </c>
      <c r="B1187" s="402">
        <v>10430477161870.4</v>
      </c>
    </row>
    <row r="1188" spans="1:2" ht="12.9" x14ac:dyDescent="0.35">
      <c r="A1188" s="401">
        <v>41007</v>
      </c>
      <c r="B1188" s="402">
        <v>12128461816128.301</v>
      </c>
    </row>
    <row r="1189" spans="1:2" ht="12.9" x14ac:dyDescent="0.35">
      <c r="A1189" s="401">
        <v>41008</v>
      </c>
      <c r="B1189" s="402">
        <v>11805036167698.301</v>
      </c>
    </row>
    <row r="1190" spans="1:2" ht="12.9" x14ac:dyDescent="0.35">
      <c r="A1190" s="401">
        <v>41009</v>
      </c>
      <c r="B1190" s="402">
        <v>11885892579805.801</v>
      </c>
    </row>
    <row r="1191" spans="1:2" ht="12.9" x14ac:dyDescent="0.35">
      <c r="A1191" s="401">
        <v>41010</v>
      </c>
      <c r="B1191" s="402">
        <v>11400754107160.6</v>
      </c>
    </row>
    <row r="1192" spans="1:2" ht="12.9" x14ac:dyDescent="0.35">
      <c r="A1192" s="401">
        <v>41011</v>
      </c>
      <c r="B1192" s="402">
        <v>10268764337655.301</v>
      </c>
    </row>
    <row r="1193" spans="1:2" ht="12.9" x14ac:dyDescent="0.35">
      <c r="A1193" s="401">
        <v>41012</v>
      </c>
      <c r="B1193" s="402">
        <v>9647936095478.5195</v>
      </c>
    </row>
    <row r="1194" spans="1:2" ht="12.9" x14ac:dyDescent="0.35">
      <c r="A1194" s="401">
        <v>41013</v>
      </c>
      <c r="B1194" s="402">
        <v>10902952172939.1</v>
      </c>
    </row>
    <row r="1195" spans="1:2" ht="12.9" x14ac:dyDescent="0.35">
      <c r="A1195" s="401">
        <v>41014</v>
      </c>
      <c r="B1195" s="402">
        <v>8392920018017.9004</v>
      </c>
    </row>
    <row r="1196" spans="1:2" ht="12.9" x14ac:dyDescent="0.35">
      <c r="A1196" s="401">
        <v>41015</v>
      </c>
      <c r="B1196" s="402">
        <v>11765775726193.301</v>
      </c>
    </row>
    <row r="1197" spans="1:2" ht="12.9" x14ac:dyDescent="0.35">
      <c r="A1197" s="401">
        <v>41016</v>
      </c>
      <c r="B1197" s="402">
        <v>10589198153573.9</v>
      </c>
    </row>
    <row r="1198" spans="1:2" ht="12.9" x14ac:dyDescent="0.35">
      <c r="A1198" s="401">
        <v>41017</v>
      </c>
      <c r="B1198" s="402">
        <v>10197005629367.5</v>
      </c>
    </row>
    <row r="1199" spans="1:2" ht="12.9" x14ac:dyDescent="0.35">
      <c r="A1199" s="401">
        <v>41018</v>
      </c>
      <c r="B1199" s="402">
        <v>12314845260082.301</v>
      </c>
    </row>
    <row r="1200" spans="1:2" ht="12.9" x14ac:dyDescent="0.35">
      <c r="A1200" s="401">
        <v>41019</v>
      </c>
      <c r="B1200" s="402">
        <v>12079529745558.4</v>
      </c>
    </row>
    <row r="1201" spans="1:2" ht="12.9" x14ac:dyDescent="0.35">
      <c r="A1201" s="401">
        <v>41020</v>
      </c>
      <c r="B1201" s="402">
        <v>12079529745558.4</v>
      </c>
    </row>
    <row r="1202" spans="1:2" ht="12.9" x14ac:dyDescent="0.35">
      <c r="A1202" s="401">
        <v>41021</v>
      </c>
      <c r="B1202" s="402">
        <v>10981390677780.4</v>
      </c>
    </row>
    <row r="1203" spans="1:2" ht="12.9" x14ac:dyDescent="0.35">
      <c r="A1203" s="401">
        <v>41022</v>
      </c>
      <c r="B1203" s="402">
        <v>10589198153573.9</v>
      </c>
    </row>
    <row r="1204" spans="1:2" ht="12.9" x14ac:dyDescent="0.35">
      <c r="A1204" s="401">
        <v>41023</v>
      </c>
      <c r="B1204" s="402">
        <v>10824513668097.801</v>
      </c>
    </row>
    <row r="1205" spans="1:2" ht="12.9" x14ac:dyDescent="0.35">
      <c r="A1205" s="401">
        <v>41024</v>
      </c>
      <c r="B1205" s="402">
        <v>9961690114843.6797</v>
      </c>
    </row>
    <row r="1206" spans="1:2" ht="12.9" x14ac:dyDescent="0.35">
      <c r="A1206" s="401">
        <v>41025</v>
      </c>
      <c r="B1206" s="402">
        <v>12157968250399.699</v>
      </c>
    </row>
    <row r="1207" spans="1:2" ht="12.9" x14ac:dyDescent="0.35">
      <c r="A1207" s="401">
        <v>41026</v>
      </c>
      <c r="B1207" s="402">
        <v>10123973913005.199</v>
      </c>
    </row>
    <row r="1208" spans="1:2" ht="12.9" x14ac:dyDescent="0.35">
      <c r="A1208" s="401">
        <v>41027</v>
      </c>
      <c r="B1208" s="402">
        <v>11398844702050.301</v>
      </c>
    </row>
    <row r="1209" spans="1:2" ht="12.9" x14ac:dyDescent="0.35">
      <c r="A1209" s="401">
        <v>41028</v>
      </c>
      <c r="B1209" s="402">
        <v>13423639484651.4</v>
      </c>
    </row>
    <row r="1210" spans="1:2" ht="12.9" x14ac:dyDescent="0.35">
      <c r="A1210" s="401">
        <v>41029</v>
      </c>
      <c r="B1210" s="402">
        <v>13423639484651.4</v>
      </c>
    </row>
    <row r="1211" spans="1:2" ht="12.9" x14ac:dyDescent="0.35">
      <c r="A1211" s="401">
        <v>41030</v>
      </c>
      <c r="B1211" s="402">
        <v>12748707890451</v>
      </c>
    </row>
    <row r="1212" spans="1:2" ht="12.9" x14ac:dyDescent="0.35">
      <c r="A1212" s="401">
        <v>41031</v>
      </c>
      <c r="B1212" s="402">
        <v>11248859903339.1</v>
      </c>
    </row>
    <row r="1213" spans="1:2" ht="12.9" x14ac:dyDescent="0.35">
      <c r="A1213" s="401">
        <v>41032</v>
      </c>
      <c r="B1213" s="402">
        <v>11773806698828.301</v>
      </c>
    </row>
    <row r="1214" spans="1:2" ht="12.9" x14ac:dyDescent="0.35">
      <c r="A1214" s="401">
        <v>41033</v>
      </c>
      <c r="B1214" s="402">
        <v>12073776296250.699</v>
      </c>
    </row>
    <row r="1215" spans="1:2" ht="12.9" x14ac:dyDescent="0.35">
      <c r="A1215" s="401">
        <v>41034</v>
      </c>
      <c r="B1215" s="402">
        <v>12523730692384.199</v>
      </c>
    </row>
    <row r="1216" spans="1:2" ht="12.9" x14ac:dyDescent="0.35">
      <c r="A1216" s="401">
        <v>41035</v>
      </c>
      <c r="B1216" s="402">
        <v>12298753494317.5</v>
      </c>
    </row>
    <row r="1217" spans="1:2" ht="12.9" x14ac:dyDescent="0.35">
      <c r="A1217" s="401">
        <v>41036</v>
      </c>
      <c r="B1217" s="402">
        <v>12748707890451</v>
      </c>
    </row>
    <row r="1218" spans="1:2" ht="12.9" x14ac:dyDescent="0.35">
      <c r="A1218" s="401">
        <v>41037</v>
      </c>
      <c r="B1218" s="402">
        <v>13198662286584.6</v>
      </c>
    </row>
    <row r="1219" spans="1:2" ht="12.9" x14ac:dyDescent="0.35">
      <c r="A1219" s="401">
        <v>41038</v>
      </c>
      <c r="B1219" s="402">
        <v>12448738293028.6</v>
      </c>
    </row>
    <row r="1220" spans="1:2" ht="12.9" x14ac:dyDescent="0.35">
      <c r="A1220" s="401">
        <v>41039</v>
      </c>
      <c r="B1220" s="402">
        <v>11114409457010.1</v>
      </c>
    </row>
    <row r="1221" spans="1:2" ht="12.9" x14ac:dyDescent="0.35">
      <c r="A1221" s="401">
        <v>41040</v>
      </c>
      <c r="B1221" s="402">
        <v>12320624436840.699</v>
      </c>
    </row>
    <row r="1222" spans="1:2" ht="12.9" x14ac:dyDescent="0.35">
      <c r="A1222" s="401">
        <v>41041</v>
      </c>
      <c r="B1222" s="402">
        <v>11028251244165.1</v>
      </c>
    </row>
    <row r="1223" spans="1:2" ht="12.9" x14ac:dyDescent="0.35">
      <c r="A1223" s="401">
        <v>41042</v>
      </c>
      <c r="B1223" s="402">
        <v>12062149798305.6</v>
      </c>
    </row>
    <row r="1224" spans="1:2" ht="12.9" x14ac:dyDescent="0.35">
      <c r="A1224" s="401">
        <v>41043</v>
      </c>
      <c r="B1224" s="402">
        <v>11975991585460.5</v>
      </c>
    </row>
    <row r="1225" spans="1:2" ht="12.9" x14ac:dyDescent="0.35">
      <c r="A1225" s="401">
        <v>41044</v>
      </c>
      <c r="B1225" s="402">
        <v>11200567669855.199</v>
      </c>
    </row>
    <row r="1226" spans="1:2" ht="12.9" x14ac:dyDescent="0.35">
      <c r="A1226" s="401">
        <v>41045</v>
      </c>
      <c r="B1226" s="402">
        <v>10425143754249.801</v>
      </c>
    </row>
    <row r="1227" spans="1:2" ht="12.9" x14ac:dyDescent="0.35">
      <c r="A1227" s="401">
        <v>41046</v>
      </c>
      <c r="B1227" s="402">
        <v>9994352690024.6406</v>
      </c>
    </row>
    <row r="1228" spans="1:2" ht="12.9" x14ac:dyDescent="0.35">
      <c r="A1228" s="401">
        <v>41047</v>
      </c>
      <c r="B1228" s="402">
        <v>12492940862530.801</v>
      </c>
    </row>
    <row r="1229" spans="1:2" ht="12.9" x14ac:dyDescent="0.35">
      <c r="A1229" s="401">
        <v>41048</v>
      </c>
      <c r="B1229" s="402">
        <v>12837573713910.9</v>
      </c>
    </row>
    <row r="1230" spans="1:2" ht="12.9" x14ac:dyDescent="0.35">
      <c r="A1230" s="401">
        <v>41049</v>
      </c>
      <c r="B1230" s="402">
        <v>11889833372615.5</v>
      </c>
    </row>
    <row r="1231" spans="1:2" ht="12.9" x14ac:dyDescent="0.35">
      <c r="A1231" s="401">
        <v>41050</v>
      </c>
      <c r="B1231" s="402">
        <v>10855934818475</v>
      </c>
    </row>
    <row r="1232" spans="1:2" ht="12.9" x14ac:dyDescent="0.35">
      <c r="A1232" s="401">
        <v>41051</v>
      </c>
      <c r="B1232" s="402">
        <v>9908194477179.5996</v>
      </c>
    </row>
    <row r="1233" spans="1:2" ht="12.9" x14ac:dyDescent="0.35">
      <c r="A1233" s="401">
        <v>41052</v>
      </c>
      <c r="B1233" s="402">
        <v>11200567669855.199</v>
      </c>
    </row>
    <row r="1234" spans="1:2" ht="12.9" x14ac:dyDescent="0.35">
      <c r="A1234" s="401">
        <v>41053</v>
      </c>
      <c r="B1234" s="402">
        <v>10769776605630</v>
      </c>
    </row>
    <row r="1235" spans="1:2" ht="12.9" x14ac:dyDescent="0.35">
      <c r="A1235" s="401">
        <v>41054</v>
      </c>
      <c r="B1235" s="402">
        <v>9570224608798.6992</v>
      </c>
    </row>
    <row r="1236" spans="1:2" ht="12.9" x14ac:dyDescent="0.35">
      <c r="A1236" s="401">
        <v>41055</v>
      </c>
      <c r="B1236" s="402">
        <v>11231172681400.1</v>
      </c>
    </row>
    <row r="1237" spans="1:2" ht="12.9" x14ac:dyDescent="0.35">
      <c r="A1237" s="401">
        <v>41056</v>
      </c>
      <c r="B1237" s="402">
        <v>12575749692553.6</v>
      </c>
    </row>
    <row r="1238" spans="1:2" ht="12.9" x14ac:dyDescent="0.35">
      <c r="A1238" s="401">
        <v>41057</v>
      </c>
      <c r="B1238" s="402">
        <v>11231172681400.1</v>
      </c>
    </row>
    <row r="1239" spans="1:2" ht="12.9" x14ac:dyDescent="0.35">
      <c r="A1239" s="401">
        <v>41058</v>
      </c>
      <c r="B1239" s="402">
        <v>9965688435608.5605</v>
      </c>
    </row>
    <row r="1240" spans="1:2" ht="12.9" x14ac:dyDescent="0.35">
      <c r="A1240" s="401">
        <v>41059</v>
      </c>
      <c r="B1240" s="402">
        <v>10361152262418.4</v>
      </c>
    </row>
    <row r="1241" spans="1:2" ht="12.9" x14ac:dyDescent="0.35">
      <c r="A1241" s="401">
        <v>41060</v>
      </c>
      <c r="B1241" s="402">
        <v>10914801619952.199</v>
      </c>
    </row>
    <row r="1242" spans="1:2" ht="12.9" x14ac:dyDescent="0.35">
      <c r="A1242" s="401">
        <v>41061</v>
      </c>
      <c r="B1242" s="402">
        <v>12022100335019.801</v>
      </c>
    </row>
    <row r="1243" spans="1:2" ht="12.9" x14ac:dyDescent="0.35">
      <c r="A1243" s="401">
        <v>41062</v>
      </c>
      <c r="B1243" s="402">
        <v>12654842457915.6</v>
      </c>
    </row>
    <row r="1244" spans="1:2" ht="12.9" x14ac:dyDescent="0.35">
      <c r="A1244" s="401">
        <v>41063</v>
      </c>
      <c r="B1244" s="402">
        <v>12101193100381.801</v>
      </c>
    </row>
    <row r="1245" spans="1:2" ht="12.9" x14ac:dyDescent="0.35">
      <c r="A1245" s="401">
        <v>41064</v>
      </c>
      <c r="B1245" s="402">
        <v>12259378631105.699</v>
      </c>
    </row>
    <row r="1246" spans="1:2" ht="12.9" x14ac:dyDescent="0.35">
      <c r="A1246" s="401">
        <v>41065</v>
      </c>
      <c r="B1246" s="402">
        <v>11626636508209.9</v>
      </c>
    </row>
    <row r="1247" spans="1:2" ht="12.9" x14ac:dyDescent="0.35">
      <c r="A1247" s="401">
        <v>41066</v>
      </c>
      <c r="B1247" s="402">
        <v>12101193100381.801</v>
      </c>
    </row>
    <row r="1248" spans="1:2" ht="12.9" x14ac:dyDescent="0.35">
      <c r="A1248" s="401">
        <v>41067</v>
      </c>
      <c r="B1248" s="402">
        <v>10993894385314.199</v>
      </c>
    </row>
    <row r="1249" spans="1:2" ht="12.9" x14ac:dyDescent="0.35">
      <c r="A1249" s="401">
        <v>41068</v>
      </c>
      <c r="B1249" s="402">
        <v>11096727868089.699</v>
      </c>
    </row>
    <row r="1250" spans="1:2" ht="12.9" x14ac:dyDescent="0.35">
      <c r="A1250" s="401">
        <v>41069</v>
      </c>
      <c r="B1250" s="402">
        <v>13457733797470.5</v>
      </c>
    </row>
    <row r="1251" spans="1:2" ht="12.9" x14ac:dyDescent="0.35">
      <c r="A1251" s="401">
        <v>41070</v>
      </c>
      <c r="B1251" s="402">
        <v>13064232809240.4</v>
      </c>
    </row>
    <row r="1252" spans="1:2" ht="12.9" x14ac:dyDescent="0.35">
      <c r="A1252" s="401">
        <v>41071</v>
      </c>
      <c r="B1252" s="402">
        <v>11018027670443.699</v>
      </c>
    </row>
    <row r="1253" spans="1:2" ht="12.9" x14ac:dyDescent="0.35">
      <c r="A1253" s="401">
        <v>41072</v>
      </c>
      <c r="B1253" s="402">
        <v>12277230832780.1</v>
      </c>
    </row>
    <row r="1254" spans="1:2" ht="12.9" x14ac:dyDescent="0.35">
      <c r="A1254" s="401">
        <v>41073</v>
      </c>
      <c r="B1254" s="402">
        <v>11805029646903.9</v>
      </c>
    </row>
    <row r="1255" spans="1:2" ht="12.9" x14ac:dyDescent="0.35">
      <c r="A1255" s="401">
        <v>41074</v>
      </c>
      <c r="B1255" s="402">
        <v>12277230832780.1</v>
      </c>
    </row>
    <row r="1256" spans="1:2" ht="12.9" x14ac:dyDescent="0.35">
      <c r="A1256" s="401">
        <v>41075</v>
      </c>
      <c r="B1256" s="402">
        <v>12513331425718.199</v>
      </c>
    </row>
    <row r="1257" spans="1:2" ht="12.9" x14ac:dyDescent="0.35">
      <c r="A1257" s="401">
        <v>41076</v>
      </c>
      <c r="B1257" s="402">
        <v>12277230832780.1</v>
      </c>
    </row>
    <row r="1258" spans="1:2" ht="12.9" x14ac:dyDescent="0.35">
      <c r="A1258" s="401">
        <v>41077</v>
      </c>
      <c r="B1258" s="402">
        <v>12906832413948.301</v>
      </c>
    </row>
    <row r="1259" spans="1:2" ht="12.9" x14ac:dyDescent="0.35">
      <c r="A1259" s="401">
        <v>41078</v>
      </c>
      <c r="B1259" s="402">
        <v>13772534588054.6</v>
      </c>
    </row>
    <row r="1260" spans="1:2" ht="12.9" x14ac:dyDescent="0.35">
      <c r="A1260" s="401">
        <v>41079</v>
      </c>
      <c r="B1260" s="402">
        <v>11568929053965.801</v>
      </c>
    </row>
    <row r="1261" spans="1:2" ht="12.9" x14ac:dyDescent="0.35">
      <c r="A1261" s="401">
        <v>41080</v>
      </c>
      <c r="B1261" s="402">
        <v>11411528658673.801</v>
      </c>
    </row>
    <row r="1262" spans="1:2" ht="12.9" x14ac:dyDescent="0.35">
      <c r="A1262" s="401">
        <v>41081</v>
      </c>
      <c r="B1262" s="402">
        <v>11672620128669.199</v>
      </c>
    </row>
    <row r="1263" spans="1:2" ht="12.9" x14ac:dyDescent="0.35">
      <c r="A1263" s="401">
        <v>41082</v>
      </c>
      <c r="B1263" s="402">
        <v>11844276307032</v>
      </c>
    </row>
    <row r="1264" spans="1:2" ht="12.9" x14ac:dyDescent="0.35">
      <c r="A1264" s="401">
        <v>41083</v>
      </c>
      <c r="B1264" s="402">
        <v>14075806625748.199</v>
      </c>
    </row>
    <row r="1265" spans="1:2" ht="12.9" x14ac:dyDescent="0.35">
      <c r="A1265" s="401">
        <v>41084</v>
      </c>
      <c r="B1265" s="402">
        <v>11243479682762.301</v>
      </c>
    </row>
    <row r="1266" spans="1:2" ht="12.9" x14ac:dyDescent="0.35">
      <c r="A1266" s="401">
        <v>41085</v>
      </c>
      <c r="B1266" s="402">
        <v>13217525733934.301</v>
      </c>
    </row>
    <row r="1267" spans="1:2" ht="12.9" x14ac:dyDescent="0.35">
      <c r="A1267" s="401">
        <v>41086</v>
      </c>
      <c r="B1267" s="402">
        <v>12788385288027.301</v>
      </c>
    </row>
    <row r="1268" spans="1:2" ht="12.9" x14ac:dyDescent="0.35">
      <c r="A1268" s="401">
        <v>41087</v>
      </c>
      <c r="B1268" s="402">
        <v>13989978536566.801</v>
      </c>
    </row>
    <row r="1269" spans="1:2" ht="12.9" x14ac:dyDescent="0.35">
      <c r="A1269" s="401">
        <v>41088</v>
      </c>
      <c r="B1269" s="402">
        <v>11758448217850.6</v>
      </c>
    </row>
    <row r="1270" spans="1:2" ht="12.9" x14ac:dyDescent="0.35">
      <c r="A1270" s="401">
        <v>41089</v>
      </c>
      <c r="B1270" s="402">
        <v>12530901020483.199</v>
      </c>
    </row>
    <row r="1271" spans="1:2" ht="12.9" x14ac:dyDescent="0.35">
      <c r="A1271" s="401">
        <v>41090</v>
      </c>
      <c r="B1271" s="402">
        <v>11329307771943.699</v>
      </c>
    </row>
    <row r="1272" spans="1:2" ht="12.9" x14ac:dyDescent="0.35">
      <c r="A1272" s="401">
        <v>41091</v>
      </c>
      <c r="B1272" s="402">
        <v>12187588663757.6</v>
      </c>
    </row>
    <row r="1273" spans="1:2" ht="12.9" x14ac:dyDescent="0.35">
      <c r="A1273" s="401">
        <v>41092</v>
      </c>
      <c r="B1273" s="402">
        <v>13045869555571.5</v>
      </c>
    </row>
    <row r="1274" spans="1:2" ht="12.9" x14ac:dyDescent="0.35">
      <c r="A1274" s="401">
        <v>41093</v>
      </c>
      <c r="B1274" s="402">
        <v>13732494269022.6</v>
      </c>
    </row>
    <row r="1275" spans="1:2" ht="12.9" x14ac:dyDescent="0.35">
      <c r="A1275" s="401">
        <v>41094</v>
      </c>
      <c r="B1275" s="402">
        <v>13059791576833.1</v>
      </c>
    </row>
    <row r="1276" spans="1:2" ht="12.9" x14ac:dyDescent="0.35">
      <c r="A1276" s="401">
        <v>41095</v>
      </c>
      <c r="B1276" s="402">
        <v>12537399913759.801</v>
      </c>
    </row>
    <row r="1277" spans="1:2" ht="12.9" x14ac:dyDescent="0.35">
      <c r="A1277" s="401">
        <v>41096</v>
      </c>
      <c r="B1277" s="402">
        <v>13495117962727.5</v>
      </c>
    </row>
    <row r="1278" spans="1:2" ht="12.9" x14ac:dyDescent="0.35">
      <c r="A1278" s="401">
        <v>41097</v>
      </c>
      <c r="B1278" s="402">
        <v>14452836011695.301</v>
      </c>
    </row>
    <row r="1279" spans="1:2" ht="12.9" x14ac:dyDescent="0.35">
      <c r="A1279" s="401">
        <v>41098</v>
      </c>
      <c r="B1279" s="402">
        <v>13320987408369.699</v>
      </c>
    </row>
    <row r="1280" spans="1:2" ht="12.9" x14ac:dyDescent="0.35">
      <c r="A1280" s="401">
        <v>41099</v>
      </c>
      <c r="B1280" s="402">
        <v>14191640180158.6</v>
      </c>
    </row>
    <row r="1281" spans="1:2" ht="12.9" x14ac:dyDescent="0.35">
      <c r="A1281" s="401">
        <v>41100</v>
      </c>
      <c r="B1281" s="402">
        <v>13059791576833.1</v>
      </c>
    </row>
    <row r="1282" spans="1:2" ht="12.9" x14ac:dyDescent="0.35">
      <c r="A1282" s="401">
        <v>41101</v>
      </c>
      <c r="B1282" s="402">
        <v>11666747141970.9</v>
      </c>
    </row>
    <row r="1283" spans="1:2" ht="12.9" x14ac:dyDescent="0.35">
      <c r="A1283" s="401">
        <v>41102</v>
      </c>
      <c r="B1283" s="402">
        <v>13059791576833.1</v>
      </c>
    </row>
    <row r="1284" spans="1:2" ht="12.9" x14ac:dyDescent="0.35">
      <c r="A1284" s="401">
        <v>41103</v>
      </c>
      <c r="B1284" s="402">
        <v>14191640180158.6</v>
      </c>
    </row>
    <row r="1285" spans="1:2" ht="12.9" x14ac:dyDescent="0.35">
      <c r="A1285" s="401">
        <v>41104</v>
      </c>
      <c r="B1285" s="402">
        <v>14017509625800.9</v>
      </c>
    </row>
    <row r="1286" spans="1:2" ht="12.9" x14ac:dyDescent="0.35">
      <c r="A1286" s="401">
        <v>41105</v>
      </c>
      <c r="B1286" s="402">
        <v>12189138805044.199</v>
      </c>
    </row>
    <row r="1287" spans="1:2" ht="12.9" x14ac:dyDescent="0.35">
      <c r="A1287" s="401">
        <v>41106</v>
      </c>
      <c r="B1287" s="402">
        <v>13059791576833.1</v>
      </c>
    </row>
    <row r="1288" spans="1:2" ht="12.9" x14ac:dyDescent="0.35">
      <c r="A1288" s="401">
        <v>41107</v>
      </c>
      <c r="B1288" s="402">
        <v>14975227674768.6</v>
      </c>
    </row>
    <row r="1289" spans="1:2" ht="12.9" x14ac:dyDescent="0.35">
      <c r="A1289" s="401">
        <v>41108</v>
      </c>
      <c r="B1289" s="402">
        <v>14380716325921.6</v>
      </c>
    </row>
    <row r="1290" spans="1:2" ht="12.9" x14ac:dyDescent="0.35">
      <c r="A1290" s="401">
        <v>41109</v>
      </c>
      <c r="B1290" s="402">
        <v>12525140025802.699</v>
      </c>
    </row>
    <row r="1291" spans="1:2" ht="12.9" x14ac:dyDescent="0.35">
      <c r="A1291" s="401">
        <v>41110</v>
      </c>
      <c r="B1291" s="402">
        <v>13731264620880</v>
      </c>
    </row>
    <row r="1292" spans="1:2" ht="12.9" x14ac:dyDescent="0.35">
      <c r="A1292" s="401">
        <v>41111</v>
      </c>
      <c r="B1292" s="402">
        <v>13081812915838.4</v>
      </c>
    </row>
    <row r="1293" spans="1:2" ht="12.9" x14ac:dyDescent="0.35">
      <c r="A1293" s="401">
        <v>41112</v>
      </c>
      <c r="B1293" s="402">
        <v>14380716325921.6</v>
      </c>
    </row>
    <row r="1294" spans="1:2" ht="12.9" x14ac:dyDescent="0.35">
      <c r="A1294" s="401">
        <v>41113</v>
      </c>
      <c r="B1294" s="402">
        <v>13081812915838.4</v>
      </c>
    </row>
    <row r="1295" spans="1:2" ht="12.9" x14ac:dyDescent="0.35">
      <c r="A1295" s="401">
        <v>41114</v>
      </c>
      <c r="B1295" s="402">
        <v>14937389215957.301</v>
      </c>
    </row>
    <row r="1296" spans="1:2" ht="12.9" x14ac:dyDescent="0.35">
      <c r="A1296" s="401">
        <v>41115</v>
      </c>
      <c r="B1296" s="402">
        <v>14844610400951.4</v>
      </c>
    </row>
    <row r="1297" spans="1:2" ht="12.9" x14ac:dyDescent="0.35">
      <c r="A1297" s="401">
        <v>41116</v>
      </c>
      <c r="B1297" s="402">
        <v>15679619736004.9</v>
      </c>
    </row>
    <row r="1298" spans="1:2" ht="12.9" x14ac:dyDescent="0.35">
      <c r="A1298" s="401">
        <v>41117</v>
      </c>
      <c r="B1298" s="402">
        <v>16514629071058.4</v>
      </c>
    </row>
    <row r="1299" spans="1:2" ht="12.9" x14ac:dyDescent="0.35">
      <c r="A1299" s="401">
        <v>41118</v>
      </c>
      <c r="B1299" s="402">
        <v>14195158695909.699</v>
      </c>
    </row>
    <row r="1300" spans="1:2" ht="12.9" x14ac:dyDescent="0.35">
      <c r="A1300" s="401">
        <v>41119</v>
      </c>
      <c r="B1300" s="402">
        <v>15401283290987</v>
      </c>
    </row>
    <row r="1301" spans="1:2" ht="12.9" x14ac:dyDescent="0.35">
      <c r="A1301" s="401">
        <v>41120</v>
      </c>
      <c r="B1301" s="402">
        <v>17818850540666.801</v>
      </c>
    </row>
    <row r="1302" spans="1:2" ht="12.9" x14ac:dyDescent="0.35">
      <c r="A1302" s="401">
        <v>41121</v>
      </c>
      <c r="B1302" s="402">
        <v>13161650967537.9</v>
      </c>
    </row>
    <row r="1303" spans="1:2" ht="12.9" x14ac:dyDescent="0.35">
      <c r="A1303" s="401">
        <v>41122</v>
      </c>
      <c r="B1303" s="402">
        <v>13566624843462.199</v>
      </c>
    </row>
    <row r="1304" spans="1:2" ht="12.9" x14ac:dyDescent="0.35">
      <c r="A1304" s="401">
        <v>41123</v>
      </c>
      <c r="B1304" s="402">
        <v>16705172381875.1</v>
      </c>
    </row>
    <row r="1305" spans="1:2" ht="12.9" x14ac:dyDescent="0.35">
      <c r="A1305" s="401">
        <v>41124</v>
      </c>
      <c r="B1305" s="402">
        <v>16401441974931.9</v>
      </c>
    </row>
    <row r="1306" spans="1:2" ht="12.9" x14ac:dyDescent="0.35">
      <c r="A1306" s="401">
        <v>41125</v>
      </c>
      <c r="B1306" s="402">
        <v>15793981161045.5</v>
      </c>
    </row>
    <row r="1307" spans="1:2" ht="12.9" x14ac:dyDescent="0.35">
      <c r="A1307" s="401">
        <v>41126</v>
      </c>
      <c r="B1307" s="402">
        <v>14072842188367.5</v>
      </c>
    </row>
    <row r="1308" spans="1:2" ht="12.9" x14ac:dyDescent="0.35">
      <c r="A1308" s="401">
        <v>41127</v>
      </c>
      <c r="B1308" s="402">
        <v>14174085657348.5</v>
      </c>
    </row>
    <row r="1309" spans="1:2" ht="12.9" x14ac:dyDescent="0.35">
      <c r="A1309" s="401">
        <v>41128</v>
      </c>
      <c r="B1309" s="402">
        <v>16603928912894</v>
      </c>
    </row>
    <row r="1310" spans="1:2" ht="12.9" x14ac:dyDescent="0.35">
      <c r="A1310" s="401">
        <v>41129</v>
      </c>
      <c r="B1310" s="402">
        <v>16806415850856.1</v>
      </c>
    </row>
    <row r="1311" spans="1:2" ht="12.9" x14ac:dyDescent="0.35">
      <c r="A1311" s="401">
        <v>41130</v>
      </c>
      <c r="B1311" s="402">
        <v>17211389726780.4</v>
      </c>
    </row>
    <row r="1312" spans="1:2" ht="12.9" x14ac:dyDescent="0.35">
      <c r="A1312" s="401">
        <v>41131</v>
      </c>
      <c r="B1312" s="402">
        <v>15793981161045.5</v>
      </c>
    </row>
    <row r="1313" spans="1:2" ht="12.9" x14ac:dyDescent="0.35">
      <c r="A1313" s="401">
        <v>41132</v>
      </c>
      <c r="B1313" s="402">
        <v>17008902788818.301</v>
      </c>
    </row>
    <row r="1314" spans="1:2" ht="12.9" x14ac:dyDescent="0.35">
      <c r="A1314" s="401">
        <v>41133</v>
      </c>
      <c r="B1314" s="402">
        <v>17316457556481.699</v>
      </c>
    </row>
    <row r="1315" spans="1:2" ht="12.9" x14ac:dyDescent="0.35">
      <c r="A1315" s="401">
        <v>41134</v>
      </c>
      <c r="B1315" s="402">
        <v>17425366094572.801</v>
      </c>
    </row>
    <row r="1316" spans="1:2" ht="12.9" x14ac:dyDescent="0.35">
      <c r="A1316" s="401">
        <v>41135</v>
      </c>
      <c r="B1316" s="402">
        <v>17098640480299.5</v>
      </c>
    </row>
    <row r="1317" spans="1:2" ht="12.9" x14ac:dyDescent="0.35">
      <c r="A1317" s="401">
        <v>41136</v>
      </c>
      <c r="B1317" s="402">
        <v>18187725861210.301</v>
      </c>
    </row>
    <row r="1318" spans="1:2" ht="12.9" x14ac:dyDescent="0.35">
      <c r="A1318" s="401">
        <v>41137</v>
      </c>
      <c r="B1318" s="402">
        <v>16771914866026.301</v>
      </c>
    </row>
    <row r="1319" spans="1:2" ht="12.9" x14ac:dyDescent="0.35">
      <c r="A1319" s="401">
        <v>41138</v>
      </c>
      <c r="B1319" s="402">
        <v>15029378256569</v>
      </c>
    </row>
    <row r="1320" spans="1:2" ht="12.9" x14ac:dyDescent="0.35">
      <c r="A1320" s="401">
        <v>41139</v>
      </c>
      <c r="B1320" s="402">
        <v>16445189251753</v>
      </c>
    </row>
    <row r="1321" spans="1:2" ht="12.9" x14ac:dyDescent="0.35">
      <c r="A1321" s="401">
        <v>41140</v>
      </c>
      <c r="B1321" s="402">
        <v>19821353932576.5</v>
      </c>
    </row>
    <row r="1322" spans="1:2" ht="12.9" x14ac:dyDescent="0.35">
      <c r="A1322" s="401">
        <v>41141</v>
      </c>
      <c r="B1322" s="402">
        <v>18950085627847.898</v>
      </c>
    </row>
    <row r="1323" spans="1:2" ht="12.9" x14ac:dyDescent="0.35">
      <c r="A1323" s="401">
        <v>41142</v>
      </c>
      <c r="B1323" s="402">
        <v>18841177089756.801</v>
      </c>
    </row>
    <row r="1324" spans="1:2" ht="12.9" x14ac:dyDescent="0.35">
      <c r="A1324" s="401">
        <v>41143</v>
      </c>
      <c r="B1324" s="402">
        <v>16989731942208.4</v>
      </c>
    </row>
    <row r="1325" spans="1:2" ht="12.9" x14ac:dyDescent="0.35">
      <c r="A1325" s="401">
        <v>41144</v>
      </c>
      <c r="B1325" s="402">
        <v>17969908785028.199</v>
      </c>
    </row>
    <row r="1326" spans="1:2" ht="12.9" x14ac:dyDescent="0.35">
      <c r="A1326" s="401">
        <v>41145</v>
      </c>
      <c r="B1326" s="402">
        <v>16118463637479.801</v>
      </c>
    </row>
    <row r="1327" spans="1:2" ht="12.9" x14ac:dyDescent="0.35">
      <c r="A1327" s="401">
        <v>41146</v>
      </c>
      <c r="B1327" s="402">
        <v>16742850284767.4</v>
      </c>
    </row>
    <row r="1328" spans="1:2" ht="12.9" x14ac:dyDescent="0.35">
      <c r="A1328" s="401">
        <v>41147</v>
      </c>
      <c r="B1328" s="402">
        <v>21717175369372.199</v>
      </c>
    </row>
    <row r="1329" spans="1:2" ht="12.9" x14ac:dyDescent="0.35">
      <c r="A1329" s="401">
        <v>41148</v>
      </c>
      <c r="B1329" s="402">
        <v>17592125299212.1</v>
      </c>
    </row>
    <row r="1330" spans="1:2" ht="12.9" x14ac:dyDescent="0.35">
      <c r="A1330" s="401">
        <v>41149</v>
      </c>
      <c r="B1330" s="402">
        <v>18320075311593.301</v>
      </c>
    </row>
    <row r="1331" spans="1:2" ht="12.9" x14ac:dyDescent="0.35">
      <c r="A1331" s="401">
        <v>41150</v>
      </c>
      <c r="B1331" s="402">
        <v>20382600346673.398</v>
      </c>
    </row>
    <row r="1332" spans="1:2" ht="12.9" x14ac:dyDescent="0.35">
      <c r="A1332" s="401">
        <v>41151</v>
      </c>
      <c r="B1332" s="402">
        <v>18684050317783.898</v>
      </c>
    </row>
    <row r="1333" spans="1:2" ht="12.9" x14ac:dyDescent="0.35">
      <c r="A1333" s="401">
        <v>41152</v>
      </c>
      <c r="B1333" s="402">
        <v>16985500288894.5</v>
      </c>
    </row>
    <row r="1334" spans="1:2" ht="12.9" x14ac:dyDescent="0.35">
      <c r="A1334" s="401">
        <v>41153</v>
      </c>
      <c r="B1334" s="402">
        <v>19533325332228.602</v>
      </c>
    </row>
    <row r="1335" spans="1:2" ht="12.9" x14ac:dyDescent="0.35">
      <c r="A1335" s="401">
        <v>41154</v>
      </c>
      <c r="B1335" s="402">
        <v>19897300338419.199</v>
      </c>
    </row>
    <row r="1336" spans="1:2" ht="12.9" x14ac:dyDescent="0.35">
      <c r="A1336" s="401">
        <v>41155</v>
      </c>
      <c r="B1336" s="402">
        <v>19048025323974.5</v>
      </c>
    </row>
    <row r="1337" spans="1:2" ht="12.9" x14ac:dyDescent="0.35">
      <c r="A1337" s="401">
        <v>41156</v>
      </c>
      <c r="B1337" s="402">
        <v>18562725315720.398</v>
      </c>
    </row>
    <row r="1338" spans="1:2" ht="12.9" x14ac:dyDescent="0.35">
      <c r="A1338" s="401">
        <v>41157</v>
      </c>
      <c r="B1338" s="402">
        <v>21838500371435.699</v>
      </c>
    </row>
    <row r="1339" spans="1:2" ht="12.9" x14ac:dyDescent="0.35">
      <c r="A1339" s="401">
        <v>41158</v>
      </c>
      <c r="B1339" s="402">
        <v>20746575352864</v>
      </c>
    </row>
    <row r="1340" spans="1:2" ht="12.9" x14ac:dyDescent="0.35">
      <c r="A1340" s="401">
        <v>41159</v>
      </c>
      <c r="B1340" s="402">
        <v>22498870823315.301</v>
      </c>
    </row>
    <row r="1341" spans="1:2" ht="12.9" x14ac:dyDescent="0.35">
      <c r="A1341" s="401">
        <v>41160</v>
      </c>
      <c r="B1341" s="402">
        <v>19418668270123.301</v>
      </c>
    </row>
    <row r="1342" spans="1:2" ht="12.9" x14ac:dyDescent="0.35">
      <c r="A1342" s="401">
        <v>41161</v>
      </c>
      <c r="B1342" s="402">
        <v>21293574172066.301</v>
      </c>
    </row>
    <row r="1343" spans="1:2" ht="12.9" x14ac:dyDescent="0.35">
      <c r="A1343" s="401">
        <v>41162</v>
      </c>
      <c r="B1343" s="402">
        <v>20088277520817.199</v>
      </c>
    </row>
    <row r="1344" spans="1:2" ht="12.9" x14ac:dyDescent="0.35">
      <c r="A1344" s="401">
        <v>41163</v>
      </c>
      <c r="B1344" s="402">
        <v>19418668270123.301</v>
      </c>
    </row>
    <row r="1345" spans="1:2" ht="12.9" x14ac:dyDescent="0.35">
      <c r="A1345" s="401">
        <v>41164</v>
      </c>
      <c r="B1345" s="402">
        <v>20757886771511.102</v>
      </c>
    </row>
    <row r="1346" spans="1:2" ht="12.9" x14ac:dyDescent="0.35">
      <c r="A1346" s="401">
        <v>41165</v>
      </c>
      <c r="B1346" s="402">
        <v>17409840518041.6</v>
      </c>
    </row>
    <row r="1347" spans="1:2" ht="12.9" x14ac:dyDescent="0.35">
      <c r="A1347" s="401">
        <v>41166</v>
      </c>
      <c r="B1347" s="402">
        <v>21695339722482.602</v>
      </c>
    </row>
    <row r="1348" spans="1:2" ht="12.9" x14ac:dyDescent="0.35">
      <c r="A1348" s="401">
        <v>41167</v>
      </c>
      <c r="B1348" s="402">
        <v>19284746419984.5</v>
      </c>
    </row>
    <row r="1349" spans="1:2" ht="12.9" x14ac:dyDescent="0.35">
      <c r="A1349" s="401">
        <v>41168</v>
      </c>
      <c r="B1349" s="402">
        <v>21561417872343.801</v>
      </c>
    </row>
    <row r="1350" spans="1:2" ht="12.9" x14ac:dyDescent="0.35">
      <c r="A1350" s="401">
        <v>41169</v>
      </c>
      <c r="B1350" s="402">
        <v>22498870823315.301</v>
      </c>
    </row>
    <row r="1351" spans="1:2" ht="12.9" x14ac:dyDescent="0.35">
      <c r="A1351" s="401">
        <v>41170</v>
      </c>
      <c r="B1351" s="402">
        <v>22364948973176.5</v>
      </c>
    </row>
    <row r="1352" spans="1:2" ht="12.9" x14ac:dyDescent="0.35">
      <c r="A1352" s="401">
        <v>41171</v>
      </c>
      <c r="B1352" s="402">
        <v>18882980869568.199</v>
      </c>
    </row>
    <row r="1353" spans="1:2" ht="12.9" x14ac:dyDescent="0.35">
      <c r="A1353" s="401">
        <v>41172</v>
      </c>
      <c r="B1353" s="402">
        <v>21641333930293.301</v>
      </c>
    </row>
    <row r="1354" spans="1:2" ht="12.9" x14ac:dyDescent="0.35">
      <c r="A1354" s="401">
        <v>41173</v>
      </c>
      <c r="B1354" s="402">
        <v>24061746277760.301</v>
      </c>
    </row>
    <row r="1355" spans="1:2" ht="12.9" x14ac:dyDescent="0.35">
      <c r="A1355" s="401">
        <v>41174</v>
      </c>
      <c r="B1355" s="402">
        <v>22353219914842.398</v>
      </c>
    </row>
    <row r="1356" spans="1:2" ht="12.9" x14ac:dyDescent="0.35">
      <c r="A1356" s="401">
        <v>41175</v>
      </c>
      <c r="B1356" s="402">
        <v>22495597111752.199</v>
      </c>
    </row>
    <row r="1357" spans="1:2" ht="12.9" x14ac:dyDescent="0.35">
      <c r="A1357" s="401">
        <v>41176</v>
      </c>
      <c r="B1357" s="402">
        <v>21783711127203.102</v>
      </c>
    </row>
    <row r="1358" spans="1:2" ht="12.9" x14ac:dyDescent="0.35">
      <c r="A1358" s="401">
        <v>41177</v>
      </c>
      <c r="B1358" s="402">
        <v>19790430370465.5</v>
      </c>
    </row>
    <row r="1359" spans="1:2" ht="12.9" x14ac:dyDescent="0.35">
      <c r="A1359" s="401">
        <v>41178</v>
      </c>
      <c r="B1359" s="402">
        <v>19932807567375.398</v>
      </c>
    </row>
    <row r="1360" spans="1:2" ht="12.9" x14ac:dyDescent="0.35">
      <c r="A1360" s="401">
        <v>41179</v>
      </c>
      <c r="B1360" s="402">
        <v>22922728702481.699</v>
      </c>
    </row>
    <row r="1361" spans="1:2" ht="12.9" x14ac:dyDescent="0.35">
      <c r="A1361" s="401">
        <v>41180</v>
      </c>
      <c r="B1361" s="402">
        <v>22495597111752.199</v>
      </c>
    </row>
    <row r="1362" spans="1:2" ht="12.9" x14ac:dyDescent="0.35">
      <c r="A1362" s="401">
        <v>41181</v>
      </c>
      <c r="B1362" s="402">
        <v>23919369080850.398</v>
      </c>
    </row>
    <row r="1363" spans="1:2" ht="12.9" x14ac:dyDescent="0.35">
      <c r="A1363" s="401">
        <v>41182</v>
      </c>
      <c r="B1363" s="402">
        <v>22637974308662</v>
      </c>
    </row>
    <row r="1364" spans="1:2" ht="12.9" x14ac:dyDescent="0.35">
      <c r="A1364" s="401">
        <v>41183</v>
      </c>
      <c r="B1364" s="402">
        <v>18651412795186.898</v>
      </c>
    </row>
    <row r="1365" spans="1:2" ht="12.9" x14ac:dyDescent="0.35">
      <c r="A1365" s="401">
        <v>41184</v>
      </c>
      <c r="B1365" s="402">
        <v>20787070748834.301</v>
      </c>
    </row>
    <row r="1366" spans="1:2" ht="12.9" x14ac:dyDescent="0.35">
      <c r="A1366" s="401">
        <v>41185</v>
      </c>
      <c r="B1366" s="402">
        <v>20195565612039.398</v>
      </c>
    </row>
    <row r="1367" spans="1:2" ht="12.9" x14ac:dyDescent="0.35">
      <c r="A1367" s="401">
        <v>41186</v>
      </c>
      <c r="B1367" s="402">
        <v>19891872896068.898</v>
      </c>
    </row>
    <row r="1368" spans="1:2" ht="12.9" x14ac:dyDescent="0.35">
      <c r="A1368" s="401">
        <v>41187</v>
      </c>
      <c r="B1368" s="402">
        <v>20651104685995.102</v>
      </c>
    </row>
    <row r="1369" spans="1:2" ht="12.9" x14ac:dyDescent="0.35">
      <c r="A1369" s="401">
        <v>41188</v>
      </c>
      <c r="B1369" s="402">
        <v>23536185487715.102</v>
      </c>
    </row>
    <row r="1370" spans="1:2" ht="12.9" x14ac:dyDescent="0.35">
      <c r="A1370" s="401">
        <v>41189</v>
      </c>
      <c r="B1370" s="402">
        <v>18980794748157.301</v>
      </c>
    </row>
    <row r="1371" spans="1:2" ht="12.9" x14ac:dyDescent="0.35">
      <c r="A1371" s="401">
        <v>41190</v>
      </c>
      <c r="B1371" s="402">
        <v>27028651721376</v>
      </c>
    </row>
    <row r="1372" spans="1:2" ht="12.9" x14ac:dyDescent="0.35">
      <c r="A1372" s="401">
        <v>41191</v>
      </c>
      <c r="B1372" s="402">
        <v>21562182833906.699</v>
      </c>
    </row>
    <row r="1373" spans="1:2" ht="12.9" x14ac:dyDescent="0.35">
      <c r="A1373" s="401">
        <v>41192</v>
      </c>
      <c r="B1373" s="402">
        <v>22625107339803.5</v>
      </c>
    </row>
    <row r="1374" spans="1:2" ht="12.9" x14ac:dyDescent="0.35">
      <c r="A1374" s="401">
        <v>41193</v>
      </c>
      <c r="B1374" s="402">
        <v>20954797401965.699</v>
      </c>
    </row>
    <row r="1375" spans="1:2" ht="12.9" x14ac:dyDescent="0.35">
      <c r="A1375" s="401">
        <v>41194</v>
      </c>
      <c r="B1375" s="402">
        <v>22625107339803.5</v>
      </c>
    </row>
    <row r="1376" spans="1:2" ht="12.9" x14ac:dyDescent="0.35">
      <c r="A1376" s="401">
        <v>41195</v>
      </c>
      <c r="B1376" s="402">
        <v>22473260981818.199</v>
      </c>
    </row>
    <row r="1377" spans="1:2" ht="12.9" x14ac:dyDescent="0.35">
      <c r="A1377" s="401">
        <v>41196</v>
      </c>
      <c r="B1377" s="402">
        <v>19284487464127.801</v>
      </c>
    </row>
    <row r="1378" spans="1:2" ht="12.9" x14ac:dyDescent="0.35">
      <c r="A1378" s="401">
        <v>41197</v>
      </c>
      <c r="B1378" s="402">
        <v>25662034499508.699</v>
      </c>
    </row>
    <row r="1379" spans="1:2" ht="12.9" x14ac:dyDescent="0.35">
      <c r="A1379" s="401">
        <v>41198</v>
      </c>
      <c r="B1379" s="402">
        <v>23536185487715.102</v>
      </c>
    </row>
    <row r="1380" spans="1:2" ht="12.9" x14ac:dyDescent="0.35">
      <c r="A1380" s="401">
        <v>41199</v>
      </c>
      <c r="B1380" s="402">
        <v>21687083719510</v>
      </c>
    </row>
    <row r="1381" spans="1:2" ht="12.9" x14ac:dyDescent="0.35">
      <c r="A1381" s="401">
        <v>41200</v>
      </c>
      <c r="B1381" s="402">
        <v>23977972844810.398</v>
      </c>
    </row>
    <row r="1382" spans="1:2" ht="12.9" x14ac:dyDescent="0.35">
      <c r="A1382" s="401">
        <v>41201</v>
      </c>
      <c r="B1382" s="402">
        <v>20618002127703.199</v>
      </c>
    </row>
    <row r="1383" spans="1:2" ht="12.9" x14ac:dyDescent="0.35">
      <c r="A1383" s="401">
        <v>41202</v>
      </c>
      <c r="B1383" s="402">
        <v>24130698786497.102</v>
      </c>
    </row>
    <row r="1384" spans="1:2" ht="12.9" x14ac:dyDescent="0.35">
      <c r="A1384" s="401">
        <v>41203</v>
      </c>
      <c r="B1384" s="402">
        <v>24588876611557.199</v>
      </c>
    </row>
    <row r="1385" spans="1:2" ht="12.9" x14ac:dyDescent="0.35">
      <c r="A1385" s="401">
        <v>41204</v>
      </c>
      <c r="B1385" s="402">
        <v>23977972844810.398</v>
      </c>
    </row>
    <row r="1386" spans="1:2" ht="12.9" x14ac:dyDescent="0.35">
      <c r="A1386" s="401">
        <v>41205</v>
      </c>
      <c r="B1386" s="402">
        <v>19854372419269.699</v>
      </c>
    </row>
    <row r="1387" spans="1:2" ht="12.9" x14ac:dyDescent="0.35">
      <c r="A1387" s="401">
        <v>41206</v>
      </c>
      <c r="B1387" s="402">
        <v>24741602553243.801</v>
      </c>
    </row>
    <row r="1388" spans="1:2" ht="12.9" x14ac:dyDescent="0.35">
      <c r="A1388" s="401">
        <v>41207</v>
      </c>
      <c r="B1388" s="402">
        <v>21839809661196.699</v>
      </c>
    </row>
    <row r="1389" spans="1:2" ht="12.9" x14ac:dyDescent="0.35">
      <c r="A1389" s="401">
        <v>41208</v>
      </c>
      <c r="B1389" s="402">
        <v>25199780378303.898</v>
      </c>
    </row>
    <row r="1390" spans="1:2" ht="12.9" x14ac:dyDescent="0.35">
      <c r="A1390" s="401">
        <v>41209</v>
      </c>
      <c r="B1390" s="402">
        <v>26727039795170.801</v>
      </c>
    </row>
    <row r="1391" spans="1:2" ht="12.9" x14ac:dyDescent="0.35">
      <c r="A1391" s="401">
        <v>41210</v>
      </c>
      <c r="B1391" s="402">
        <v>25352506319990.602</v>
      </c>
    </row>
    <row r="1392" spans="1:2" ht="12.9" x14ac:dyDescent="0.35">
      <c r="A1392" s="401">
        <v>41211</v>
      </c>
      <c r="B1392" s="402">
        <v>24130698786497.102</v>
      </c>
    </row>
    <row r="1393" spans="1:2" ht="12.9" x14ac:dyDescent="0.35">
      <c r="A1393" s="401">
        <v>41212</v>
      </c>
      <c r="B1393" s="402">
        <v>23489243956524.102</v>
      </c>
    </row>
    <row r="1394" spans="1:2" ht="12.9" x14ac:dyDescent="0.35">
      <c r="A1394" s="401">
        <v>41213</v>
      </c>
      <c r="B1394" s="402">
        <v>23653504403772.5</v>
      </c>
    </row>
    <row r="1395" spans="1:2" ht="12.9" x14ac:dyDescent="0.35">
      <c r="A1395" s="401">
        <v>41214</v>
      </c>
      <c r="B1395" s="402">
        <v>22503681273033.5</v>
      </c>
    </row>
    <row r="1396" spans="1:2" ht="12.9" x14ac:dyDescent="0.35">
      <c r="A1396" s="401">
        <v>41215</v>
      </c>
      <c r="B1396" s="402">
        <v>23489243956524.102</v>
      </c>
    </row>
    <row r="1397" spans="1:2" ht="12.9" x14ac:dyDescent="0.35">
      <c r="A1397" s="401">
        <v>41216</v>
      </c>
      <c r="B1397" s="402">
        <v>23982025298269.301</v>
      </c>
    </row>
    <row r="1398" spans="1:2" ht="12.9" x14ac:dyDescent="0.35">
      <c r="A1398" s="401">
        <v>41217</v>
      </c>
      <c r="B1398" s="402">
        <v>25788890218002</v>
      </c>
    </row>
    <row r="1399" spans="1:2" ht="12.9" x14ac:dyDescent="0.35">
      <c r="A1399" s="401">
        <v>41218</v>
      </c>
      <c r="B1399" s="402">
        <v>26281671559747.199</v>
      </c>
    </row>
    <row r="1400" spans="1:2" ht="12.9" x14ac:dyDescent="0.35">
      <c r="A1400" s="401">
        <v>41219</v>
      </c>
      <c r="B1400" s="402">
        <v>22175160378536.699</v>
      </c>
    </row>
    <row r="1401" spans="1:2" ht="12.9" x14ac:dyDescent="0.35">
      <c r="A1401" s="401">
        <v>41220</v>
      </c>
      <c r="B1401" s="402">
        <v>25788890218002</v>
      </c>
    </row>
    <row r="1402" spans="1:2" ht="12.9" x14ac:dyDescent="0.35">
      <c r="A1402" s="401">
        <v>41221</v>
      </c>
      <c r="B1402" s="402">
        <v>25296108876256.699</v>
      </c>
    </row>
    <row r="1403" spans="1:2" ht="12.9" x14ac:dyDescent="0.35">
      <c r="A1403" s="401">
        <v>41222</v>
      </c>
      <c r="B1403" s="402">
        <v>24967587981759.898</v>
      </c>
    </row>
    <row r="1404" spans="1:2" ht="12.9" x14ac:dyDescent="0.35">
      <c r="A1404" s="401">
        <v>41223</v>
      </c>
      <c r="B1404" s="402">
        <v>23653504403772.5</v>
      </c>
    </row>
    <row r="1405" spans="1:2" ht="12.9" x14ac:dyDescent="0.35">
      <c r="A1405" s="401">
        <v>41224</v>
      </c>
      <c r="B1405" s="402">
        <v>24146285745517.801</v>
      </c>
    </row>
    <row r="1406" spans="1:2" ht="12.9" x14ac:dyDescent="0.35">
      <c r="A1406" s="401">
        <v>41225</v>
      </c>
      <c r="B1406" s="402">
        <v>21682379036791.398</v>
      </c>
    </row>
    <row r="1407" spans="1:2" ht="12.9" x14ac:dyDescent="0.35">
      <c r="A1407" s="401">
        <v>41226</v>
      </c>
      <c r="B1407" s="402">
        <v>23444725205796.5</v>
      </c>
    </row>
    <row r="1408" spans="1:2" ht="12.9" x14ac:dyDescent="0.35">
      <c r="A1408" s="401">
        <v>41227</v>
      </c>
      <c r="B1408" s="402">
        <v>23947112174492.102</v>
      </c>
    </row>
    <row r="1409" spans="1:2" ht="12.9" x14ac:dyDescent="0.35">
      <c r="A1409" s="401">
        <v>41228</v>
      </c>
      <c r="B1409" s="402">
        <v>22774875914202.301</v>
      </c>
    </row>
    <row r="1410" spans="1:2" ht="12.9" x14ac:dyDescent="0.35">
      <c r="A1410" s="401">
        <v>41229</v>
      </c>
      <c r="B1410" s="402">
        <v>24282036820289.199</v>
      </c>
    </row>
    <row r="1411" spans="1:2" ht="12.9" x14ac:dyDescent="0.35">
      <c r="A1411" s="401">
        <v>41230</v>
      </c>
      <c r="B1411" s="402">
        <v>23444725205796.5</v>
      </c>
    </row>
    <row r="1412" spans="1:2" ht="12.9" x14ac:dyDescent="0.35">
      <c r="A1412" s="401">
        <v>41231</v>
      </c>
      <c r="B1412" s="402">
        <v>24449499143187.699</v>
      </c>
    </row>
    <row r="1413" spans="1:2" ht="12.9" x14ac:dyDescent="0.35">
      <c r="A1413" s="401">
        <v>41232</v>
      </c>
      <c r="B1413" s="402">
        <v>24449499143187.699</v>
      </c>
    </row>
    <row r="1414" spans="1:2" ht="12.9" x14ac:dyDescent="0.35">
      <c r="A1414" s="401">
        <v>41233</v>
      </c>
      <c r="B1414" s="402">
        <v>24616961466086.301</v>
      </c>
    </row>
    <row r="1415" spans="1:2" ht="12.9" x14ac:dyDescent="0.35">
      <c r="A1415" s="401">
        <v>41234</v>
      </c>
      <c r="B1415" s="402">
        <v>25454273080579</v>
      </c>
    </row>
    <row r="1416" spans="1:2" ht="12.9" x14ac:dyDescent="0.35">
      <c r="A1416" s="401">
        <v>41235</v>
      </c>
      <c r="B1416" s="402">
        <v>24114574497390.699</v>
      </c>
    </row>
    <row r="1417" spans="1:2" ht="12.9" x14ac:dyDescent="0.35">
      <c r="A1417" s="401">
        <v>41236</v>
      </c>
      <c r="B1417" s="402">
        <v>27296358632463</v>
      </c>
    </row>
    <row r="1418" spans="1:2" ht="12.9" x14ac:dyDescent="0.35">
      <c r="A1418" s="401">
        <v>41237</v>
      </c>
      <c r="B1418" s="402">
        <v>25286810757680.5</v>
      </c>
    </row>
    <row r="1419" spans="1:2" ht="12.9" x14ac:dyDescent="0.35">
      <c r="A1419" s="401">
        <v>41238</v>
      </c>
      <c r="B1419" s="402">
        <v>24449499143187.699</v>
      </c>
    </row>
    <row r="1420" spans="1:2" ht="12.9" x14ac:dyDescent="0.35">
      <c r="A1420" s="401">
        <v>41239</v>
      </c>
      <c r="B1420" s="402">
        <v>26839007386435.801</v>
      </c>
    </row>
    <row r="1421" spans="1:2" ht="12.9" x14ac:dyDescent="0.35">
      <c r="A1421" s="401">
        <v>41240</v>
      </c>
      <c r="B1421" s="402">
        <v>25300465561735.602</v>
      </c>
    </row>
    <row r="1422" spans="1:2" ht="12.9" x14ac:dyDescent="0.35">
      <c r="A1422" s="401">
        <v>41241</v>
      </c>
      <c r="B1422" s="402">
        <v>29403243760936</v>
      </c>
    </row>
    <row r="1423" spans="1:2" ht="12.9" x14ac:dyDescent="0.35">
      <c r="A1423" s="401">
        <v>41242</v>
      </c>
      <c r="B1423" s="402">
        <v>28377549211135.898</v>
      </c>
    </row>
    <row r="1424" spans="1:2" ht="12.9" x14ac:dyDescent="0.35">
      <c r="A1424" s="401">
        <v>41243</v>
      </c>
      <c r="B1424" s="402">
        <v>21368636454168.602</v>
      </c>
    </row>
    <row r="1425" spans="1:2" ht="12.9" x14ac:dyDescent="0.35">
      <c r="A1425" s="401">
        <v>41244</v>
      </c>
      <c r="B1425" s="402">
        <v>28548498302769.301</v>
      </c>
    </row>
    <row r="1426" spans="1:2" ht="12.9" x14ac:dyDescent="0.35">
      <c r="A1426" s="401">
        <v>41245</v>
      </c>
      <c r="B1426" s="402">
        <v>24445720103568.898</v>
      </c>
    </row>
    <row r="1427" spans="1:2" ht="12.9" x14ac:dyDescent="0.35">
      <c r="A1427" s="401">
        <v>41246</v>
      </c>
      <c r="B1427" s="402">
        <v>25129516470102.301</v>
      </c>
    </row>
    <row r="1428" spans="1:2" ht="12.9" x14ac:dyDescent="0.35">
      <c r="A1428" s="401">
        <v>41247</v>
      </c>
      <c r="B1428" s="402">
        <v>19146298262935.102</v>
      </c>
    </row>
    <row r="1429" spans="1:2" ht="12.9" x14ac:dyDescent="0.35">
      <c r="A1429" s="401">
        <v>41248</v>
      </c>
      <c r="B1429" s="402">
        <v>20855789179268.602</v>
      </c>
    </row>
    <row r="1430" spans="1:2" ht="12.9" x14ac:dyDescent="0.35">
      <c r="A1430" s="401">
        <v>41249</v>
      </c>
      <c r="B1430" s="402">
        <v>23420025553768.801</v>
      </c>
    </row>
    <row r="1431" spans="1:2" ht="12.9" x14ac:dyDescent="0.35">
      <c r="A1431" s="401">
        <v>41250</v>
      </c>
      <c r="B1431" s="402">
        <v>22052432820702</v>
      </c>
    </row>
    <row r="1432" spans="1:2" ht="12.9" x14ac:dyDescent="0.35">
      <c r="A1432" s="401">
        <v>41251</v>
      </c>
      <c r="B1432" s="402">
        <v>23590974645402.102</v>
      </c>
    </row>
    <row r="1433" spans="1:2" ht="12.9" x14ac:dyDescent="0.35">
      <c r="A1433" s="401">
        <v>41252</v>
      </c>
      <c r="B1433" s="402">
        <v>21539585545802</v>
      </c>
    </row>
    <row r="1434" spans="1:2" ht="12.9" x14ac:dyDescent="0.35">
      <c r="A1434" s="401">
        <v>41253</v>
      </c>
      <c r="B1434" s="402">
        <v>24445720103568.898</v>
      </c>
    </row>
    <row r="1435" spans="1:2" ht="12.9" x14ac:dyDescent="0.35">
      <c r="A1435" s="401">
        <v>41254</v>
      </c>
      <c r="B1435" s="402">
        <v>24124701013799</v>
      </c>
    </row>
    <row r="1436" spans="1:2" ht="12.9" x14ac:dyDescent="0.35">
      <c r="A1436" s="401">
        <v>41255</v>
      </c>
      <c r="B1436" s="402">
        <v>21779243970790.801</v>
      </c>
    </row>
    <row r="1437" spans="1:2" ht="12.9" x14ac:dyDescent="0.35">
      <c r="A1437" s="401">
        <v>41256</v>
      </c>
      <c r="B1437" s="402">
        <v>21946776616719.898</v>
      </c>
    </row>
    <row r="1438" spans="1:2" ht="12.9" x14ac:dyDescent="0.35">
      <c r="A1438" s="401">
        <v>41257</v>
      </c>
      <c r="B1438" s="402">
        <v>17758460468490.898</v>
      </c>
    </row>
    <row r="1439" spans="1:2" ht="12.9" x14ac:dyDescent="0.35">
      <c r="A1439" s="401">
        <v>41258</v>
      </c>
      <c r="B1439" s="402">
        <v>19433786927782.5</v>
      </c>
    </row>
    <row r="1440" spans="1:2" ht="12.9" x14ac:dyDescent="0.35">
      <c r="A1440" s="401">
        <v>41259</v>
      </c>
      <c r="B1440" s="402">
        <v>18596123698136.699</v>
      </c>
    </row>
    <row r="1441" spans="1:2" ht="12.9" x14ac:dyDescent="0.35">
      <c r="A1441" s="401">
        <v>41260</v>
      </c>
      <c r="B1441" s="402">
        <v>22449374554507.398</v>
      </c>
    </row>
    <row r="1442" spans="1:2" ht="12.9" x14ac:dyDescent="0.35">
      <c r="A1442" s="401">
        <v>41261</v>
      </c>
      <c r="B1442" s="402">
        <v>20941580741145</v>
      </c>
    </row>
    <row r="1443" spans="1:2" ht="12.9" x14ac:dyDescent="0.35">
      <c r="A1443" s="401">
        <v>41262</v>
      </c>
      <c r="B1443" s="402">
        <v>23789635721940.699</v>
      </c>
    </row>
    <row r="1444" spans="1:2" ht="12.9" x14ac:dyDescent="0.35">
      <c r="A1444" s="401">
        <v>41263</v>
      </c>
      <c r="B1444" s="402">
        <v>17758460468490.898</v>
      </c>
    </row>
    <row r="1445" spans="1:2" ht="12.9" x14ac:dyDescent="0.35">
      <c r="A1445" s="401">
        <v>41264</v>
      </c>
      <c r="B1445" s="402">
        <v>21109113387074.102</v>
      </c>
    </row>
    <row r="1446" spans="1:2" ht="12.9" x14ac:dyDescent="0.35">
      <c r="A1446" s="401">
        <v>41265</v>
      </c>
      <c r="B1446" s="402">
        <v>25632494827161.5</v>
      </c>
    </row>
    <row r="1447" spans="1:2" ht="12.9" x14ac:dyDescent="0.35">
      <c r="A1447" s="401">
        <v>41266</v>
      </c>
      <c r="B1447" s="402">
        <v>20438982803357.5</v>
      </c>
    </row>
    <row r="1448" spans="1:2" ht="12.9" x14ac:dyDescent="0.35">
      <c r="A1448" s="401">
        <v>41267</v>
      </c>
      <c r="B1448" s="402">
        <v>22114309262649.102</v>
      </c>
    </row>
    <row r="1449" spans="1:2" ht="12.9" x14ac:dyDescent="0.35">
      <c r="A1449" s="401">
        <v>41268</v>
      </c>
      <c r="B1449" s="402">
        <v>20774048095215.801</v>
      </c>
    </row>
    <row r="1450" spans="1:2" ht="12.9" x14ac:dyDescent="0.35">
      <c r="A1450" s="401">
        <v>41269</v>
      </c>
      <c r="B1450" s="402">
        <v>22810255102925.602</v>
      </c>
    </row>
    <row r="1451" spans="1:2" ht="12.9" x14ac:dyDescent="0.35">
      <c r="A1451" s="401">
        <v>41270</v>
      </c>
      <c r="B1451" s="402">
        <v>23106492182184.398</v>
      </c>
    </row>
    <row r="1452" spans="1:2" ht="12.9" x14ac:dyDescent="0.35">
      <c r="A1452" s="401">
        <v>41271</v>
      </c>
      <c r="B1452" s="402">
        <v>25032033197366.398</v>
      </c>
    </row>
    <row r="1453" spans="1:2" ht="12.9" x14ac:dyDescent="0.35">
      <c r="A1453" s="401">
        <v>41272</v>
      </c>
      <c r="B1453" s="402">
        <v>21329069706631.699</v>
      </c>
    </row>
    <row r="1454" spans="1:2" ht="12.9" x14ac:dyDescent="0.35">
      <c r="A1454" s="401">
        <v>41273</v>
      </c>
      <c r="B1454" s="402">
        <v>24587677578478.301</v>
      </c>
    </row>
    <row r="1455" spans="1:2" ht="12.9" x14ac:dyDescent="0.35">
      <c r="A1455" s="401">
        <v>41274</v>
      </c>
      <c r="B1455" s="402">
        <v>23402729261443.199</v>
      </c>
    </row>
    <row r="1456" spans="1:2" ht="12.9" x14ac:dyDescent="0.35">
      <c r="A1456" s="401">
        <v>41275</v>
      </c>
      <c r="B1456" s="402">
        <v>23995203419960.699</v>
      </c>
    </row>
    <row r="1457" spans="1:2" ht="12.9" x14ac:dyDescent="0.35">
      <c r="A1457" s="401">
        <v>41276</v>
      </c>
      <c r="B1457" s="402">
        <v>22662136563296.199</v>
      </c>
    </row>
    <row r="1458" spans="1:2" ht="12.9" x14ac:dyDescent="0.35">
      <c r="A1458" s="401">
        <v>41277</v>
      </c>
      <c r="B1458" s="402">
        <v>23995203419960.699</v>
      </c>
    </row>
    <row r="1459" spans="1:2" ht="12.9" x14ac:dyDescent="0.35">
      <c r="A1459" s="401">
        <v>41278</v>
      </c>
      <c r="B1459" s="402">
        <v>22662136563296.199</v>
      </c>
    </row>
    <row r="1460" spans="1:2" ht="12.9" x14ac:dyDescent="0.35">
      <c r="A1460" s="401">
        <v>41279</v>
      </c>
      <c r="B1460" s="402">
        <v>20884714087743.602</v>
      </c>
    </row>
    <row r="1461" spans="1:2" ht="12.9" x14ac:dyDescent="0.35">
      <c r="A1461" s="401">
        <v>41280</v>
      </c>
      <c r="B1461" s="402">
        <v>21477188246261.102</v>
      </c>
    </row>
    <row r="1462" spans="1:2" ht="12.9" x14ac:dyDescent="0.35">
      <c r="A1462" s="401">
        <v>41281</v>
      </c>
      <c r="B1462" s="402">
        <v>24883914657737</v>
      </c>
    </row>
    <row r="1463" spans="1:2" ht="12.9" x14ac:dyDescent="0.35">
      <c r="A1463" s="401">
        <v>41282</v>
      </c>
      <c r="B1463" s="402">
        <v>21484286137400.199</v>
      </c>
    </row>
    <row r="1464" spans="1:2" ht="12.9" x14ac:dyDescent="0.35">
      <c r="A1464" s="401">
        <v>41283</v>
      </c>
      <c r="B1464" s="402">
        <v>20999678179413.801</v>
      </c>
    </row>
    <row r="1465" spans="1:2" ht="12.9" x14ac:dyDescent="0.35">
      <c r="A1465" s="401">
        <v>41284</v>
      </c>
      <c r="B1465" s="402">
        <v>23745789941337.102</v>
      </c>
    </row>
    <row r="1466" spans="1:2" ht="12.9" x14ac:dyDescent="0.35">
      <c r="A1466" s="401">
        <v>41285</v>
      </c>
      <c r="B1466" s="402">
        <v>18899710361472.398</v>
      </c>
    </row>
    <row r="1467" spans="1:2" ht="12.9" x14ac:dyDescent="0.35">
      <c r="A1467" s="401">
        <v>41286</v>
      </c>
      <c r="B1467" s="402">
        <v>19707390291449.801</v>
      </c>
    </row>
    <row r="1468" spans="1:2" ht="12.9" x14ac:dyDescent="0.35">
      <c r="A1468" s="401">
        <v>41287</v>
      </c>
      <c r="B1468" s="402">
        <v>21484286137400.199</v>
      </c>
    </row>
    <row r="1469" spans="1:2" ht="12.9" x14ac:dyDescent="0.35">
      <c r="A1469" s="401">
        <v>41288</v>
      </c>
      <c r="B1469" s="402">
        <v>25361149801292</v>
      </c>
    </row>
    <row r="1470" spans="1:2" ht="12.9" x14ac:dyDescent="0.35">
      <c r="A1470" s="401">
        <v>41289</v>
      </c>
      <c r="B1470" s="402">
        <v>19545854305454.301</v>
      </c>
    </row>
    <row r="1471" spans="1:2" ht="12.9" x14ac:dyDescent="0.35">
      <c r="A1471" s="401">
        <v>41290</v>
      </c>
      <c r="B1471" s="402">
        <v>21161214165409.199</v>
      </c>
    </row>
    <row r="1472" spans="1:2" ht="12.9" x14ac:dyDescent="0.35">
      <c r="A1472" s="401">
        <v>41291</v>
      </c>
      <c r="B1472" s="402">
        <v>17930494445499.398</v>
      </c>
    </row>
    <row r="1473" spans="1:2" ht="12.9" x14ac:dyDescent="0.35">
      <c r="A1473" s="401">
        <v>41292</v>
      </c>
      <c r="B1473" s="402">
        <v>19545854305454.301</v>
      </c>
    </row>
    <row r="1474" spans="1:2" ht="12.9" x14ac:dyDescent="0.35">
      <c r="A1474" s="401">
        <v>41293</v>
      </c>
      <c r="B1474" s="402">
        <v>24876541843305.5</v>
      </c>
    </row>
    <row r="1475" spans="1:2" ht="12.9" x14ac:dyDescent="0.35">
      <c r="A1475" s="401">
        <v>41294</v>
      </c>
      <c r="B1475" s="402">
        <v>20999678179413.801</v>
      </c>
    </row>
    <row r="1476" spans="1:2" ht="12.9" x14ac:dyDescent="0.35">
      <c r="A1476" s="401">
        <v>41295</v>
      </c>
      <c r="B1476" s="402">
        <v>21322750151404.699</v>
      </c>
    </row>
    <row r="1477" spans="1:2" ht="12.9" x14ac:dyDescent="0.35">
      <c r="A1477" s="401">
        <v>41296</v>
      </c>
      <c r="B1477" s="402">
        <v>23261181983350.602</v>
      </c>
    </row>
    <row r="1478" spans="1:2" ht="12.9" x14ac:dyDescent="0.35">
      <c r="A1478" s="401">
        <v>41297</v>
      </c>
      <c r="B1478" s="402">
        <v>20353534235431.801</v>
      </c>
    </row>
    <row r="1479" spans="1:2" ht="12.9" x14ac:dyDescent="0.35">
      <c r="A1479" s="401">
        <v>41298</v>
      </c>
      <c r="B1479" s="402">
        <v>23022265066868</v>
      </c>
    </row>
    <row r="1480" spans="1:2" ht="12.9" x14ac:dyDescent="0.35">
      <c r="A1480" s="401">
        <v>41299</v>
      </c>
      <c r="B1480" s="402">
        <v>20218271244621.301</v>
      </c>
    </row>
    <row r="1481" spans="1:2" ht="12.9" x14ac:dyDescent="0.35">
      <c r="A1481" s="401">
        <v>41300</v>
      </c>
      <c r="B1481" s="402">
        <v>23022265066868</v>
      </c>
    </row>
    <row r="1482" spans="1:2" ht="12.9" x14ac:dyDescent="0.35">
      <c r="A1482" s="401">
        <v>41301</v>
      </c>
      <c r="B1482" s="402">
        <v>22284371955750.398</v>
      </c>
    </row>
    <row r="1483" spans="1:2" ht="12.9" x14ac:dyDescent="0.35">
      <c r="A1483" s="401">
        <v>41302</v>
      </c>
      <c r="B1483" s="402">
        <v>21694057466856.398</v>
      </c>
    </row>
    <row r="1484" spans="1:2" ht="12.9" x14ac:dyDescent="0.35">
      <c r="A1484" s="401">
        <v>41303</v>
      </c>
      <c r="B1484" s="402">
        <v>23317422311315</v>
      </c>
    </row>
    <row r="1485" spans="1:2" ht="12.9" x14ac:dyDescent="0.35">
      <c r="A1485" s="401">
        <v>41304</v>
      </c>
      <c r="B1485" s="402">
        <v>22579529200197.5</v>
      </c>
    </row>
    <row r="1486" spans="1:2" ht="12.9" x14ac:dyDescent="0.35">
      <c r="A1486" s="401">
        <v>41305</v>
      </c>
      <c r="B1486" s="402">
        <v>28482674089138</v>
      </c>
    </row>
    <row r="1487" spans="1:2" ht="12.9" x14ac:dyDescent="0.35">
      <c r="A1487" s="401">
        <v>41306</v>
      </c>
      <c r="B1487" s="402">
        <v>21694057466856.398</v>
      </c>
    </row>
    <row r="1488" spans="1:2" ht="12.9" x14ac:dyDescent="0.35">
      <c r="A1488" s="401">
        <v>41307</v>
      </c>
      <c r="B1488" s="402">
        <v>22579529200197.5</v>
      </c>
    </row>
    <row r="1489" spans="1:2" ht="12.9" x14ac:dyDescent="0.35">
      <c r="A1489" s="401">
        <v>41308</v>
      </c>
      <c r="B1489" s="402">
        <v>27449623733573.398</v>
      </c>
    </row>
    <row r="1490" spans="1:2" ht="12.9" x14ac:dyDescent="0.35">
      <c r="A1490" s="401">
        <v>41309</v>
      </c>
      <c r="B1490" s="402">
        <v>24202894044656.102</v>
      </c>
    </row>
    <row r="1491" spans="1:2" ht="12.9" x14ac:dyDescent="0.35">
      <c r="A1491" s="401">
        <v>41310</v>
      </c>
      <c r="B1491" s="402">
        <v>27191646039606.199</v>
      </c>
    </row>
    <row r="1492" spans="1:2" ht="12.9" x14ac:dyDescent="0.35">
      <c r="A1492" s="401">
        <v>41311</v>
      </c>
      <c r="B1492" s="402">
        <v>23772337256182.699</v>
      </c>
    </row>
    <row r="1493" spans="1:2" ht="12.9" x14ac:dyDescent="0.35">
      <c r="A1493" s="401">
        <v>41312</v>
      </c>
      <c r="B1493" s="402">
        <v>25074931078439.301</v>
      </c>
    </row>
    <row r="1494" spans="1:2" ht="12.9" x14ac:dyDescent="0.35">
      <c r="A1494" s="401">
        <v>41313</v>
      </c>
      <c r="B1494" s="402">
        <v>24586458395093</v>
      </c>
    </row>
    <row r="1495" spans="1:2" ht="12.9" x14ac:dyDescent="0.35">
      <c r="A1495" s="401">
        <v>41314</v>
      </c>
      <c r="B1495" s="402">
        <v>23283864572836.5</v>
      </c>
    </row>
    <row r="1496" spans="1:2" ht="12.9" x14ac:dyDescent="0.35">
      <c r="A1496" s="401">
        <v>41315</v>
      </c>
      <c r="B1496" s="402">
        <v>26214700672913.801</v>
      </c>
    </row>
    <row r="1497" spans="1:2" ht="12.9" x14ac:dyDescent="0.35">
      <c r="A1497" s="401">
        <v>41316</v>
      </c>
      <c r="B1497" s="402">
        <v>25889052217349.602</v>
      </c>
    </row>
    <row r="1498" spans="1:2" ht="12.9" x14ac:dyDescent="0.35">
      <c r="A1498" s="401">
        <v>41317</v>
      </c>
      <c r="B1498" s="402">
        <v>22632567661708.199</v>
      </c>
    </row>
    <row r="1499" spans="1:2" ht="12.9" x14ac:dyDescent="0.35">
      <c r="A1499" s="401">
        <v>41318</v>
      </c>
      <c r="B1499" s="402">
        <v>27842942950734.5</v>
      </c>
    </row>
    <row r="1500" spans="1:2" ht="12.9" x14ac:dyDescent="0.35">
      <c r="A1500" s="401">
        <v>41319</v>
      </c>
      <c r="B1500" s="402">
        <v>24586458395093</v>
      </c>
    </row>
    <row r="1501" spans="1:2" ht="12.9" x14ac:dyDescent="0.35">
      <c r="A1501" s="401">
        <v>41320</v>
      </c>
      <c r="B1501" s="402">
        <v>29145536772991.102</v>
      </c>
    </row>
    <row r="1502" spans="1:2" ht="12.9" x14ac:dyDescent="0.35">
      <c r="A1502" s="401">
        <v>41321</v>
      </c>
      <c r="B1502" s="402">
        <v>30773779050811.801</v>
      </c>
    </row>
    <row r="1503" spans="1:2" ht="12.9" x14ac:dyDescent="0.35">
      <c r="A1503" s="401">
        <v>41322</v>
      </c>
      <c r="B1503" s="402">
        <v>30610954823029.801</v>
      </c>
    </row>
    <row r="1504" spans="1:2" ht="12.9" x14ac:dyDescent="0.35">
      <c r="A1504" s="401">
        <v>41323</v>
      </c>
      <c r="B1504" s="402">
        <v>29220336388265.699</v>
      </c>
    </row>
    <row r="1505" spans="1:2" ht="12.9" x14ac:dyDescent="0.35">
      <c r="A1505" s="401">
        <v>41324</v>
      </c>
      <c r="B1505" s="402">
        <v>28857350843069.801</v>
      </c>
    </row>
    <row r="1506" spans="1:2" ht="12.9" x14ac:dyDescent="0.35">
      <c r="A1506" s="401">
        <v>41325</v>
      </c>
      <c r="B1506" s="402">
        <v>35028105111399.301</v>
      </c>
    </row>
    <row r="1507" spans="1:2" ht="12.9" x14ac:dyDescent="0.35">
      <c r="A1507" s="401">
        <v>41326</v>
      </c>
      <c r="B1507" s="402">
        <v>31942727977234.5</v>
      </c>
    </row>
    <row r="1508" spans="1:2" ht="12.9" x14ac:dyDescent="0.35">
      <c r="A1508" s="401">
        <v>41327</v>
      </c>
      <c r="B1508" s="402">
        <v>30853771341647</v>
      </c>
    </row>
    <row r="1509" spans="1:2" ht="12.9" x14ac:dyDescent="0.35">
      <c r="A1509" s="401">
        <v>41328</v>
      </c>
      <c r="B1509" s="402">
        <v>29764814706059.5</v>
      </c>
    </row>
    <row r="1510" spans="1:2" ht="12.9" x14ac:dyDescent="0.35">
      <c r="A1510" s="401">
        <v>41329</v>
      </c>
      <c r="B1510" s="402">
        <v>28312872525276.102</v>
      </c>
    </row>
    <row r="1511" spans="1:2" ht="12.9" x14ac:dyDescent="0.35">
      <c r="A1511" s="401">
        <v>41330</v>
      </c>
      <c r="B1511" s="402">
        <v>37024525609976.398</v>
      </c>
    </row>
    <row r="1512" spans="1:2" ht="12.9" x14ac:dyDescent="0.35">
      <c r="A1512" s="401">
        <v>41331</v>
      </c>
      <c r="B1512" s="402">
        <v>30127800251255.301</v>
      </c>
    </row>
    <row r="1513" spans="1:2" ht="12.9" x14ac:dyDescent="0.35">
      <c r="A1513" s="401">
        <v>41332</v>
      </c>
      <c r="B1513" s="402">
        <v>35028105111399.301</v>
      </c>
    </row>
    <row r="1514" spans="1:2" ht="12.9" x14ac:dyDescent="0.35">
      <c r="A1514" s="401">
        <v>41333</v>
      </c>
      <c r="B1514" s="402">
        <v>30490785796451.199</v>
      </c>
    </row>
    <row r="1515" spans="1:2" ht="12.9" x14ac:dyDescent="0.35">
      <c r="A1515" s="401">
        <v>41334</v>
      </c>
      <c r="B1515" s="402">
        <v>27586901434884.398</v>
      </c>
    </row>
    <row r="1516" spans="1:2" ht="12.9" x14ac:dyDescent="0.35">
      <c r="A1516" s="401">
        <v>41335</v>
      </c>
      <c r="B1516" s="402">
        <v>31483602589182.199</v>
      </c>
    </row>
    <row r="1517" spans="1:2" ht="12.9" x14ac:dyDescent="0.35">
      <c r="A1517" s="401">
        <v>41336</v>
      </c>
      <c r="B1517" s="402">
        <v>34957655288678.199</v>
      </c>
    </row>
    <row r="1518" spans="1:2" ht="12.9" x14ac:dyDescent="0.35">
      <c r="A1518" s="401">
        <v>41337</v>
      </c>
      <c r="B1518" s="402">
        <v>38865964575611.203</v>
      </c>
    </row>
    <row r="1519" spans="1:2" ht="12.9" x14ac:dyDescent="0.35">
      <c r="A1519" s="401">
        <v>41338</v>
      </c>
      <c r="B1519" s="402">
        <v>30180832826871.199</v>
      </c>
    </row>
    <row r="1520" spans="1:2" ht="12.9" x14ac:dyDescent="0.35">
      <c r="A1520" s="401">
        <v>41339</v>
      </c>
      <c r="B1520" s="402">
        <v>33654885526367.199</v>
      </c>
    </row>
    <row r="1521" spans="1:2" ht="12.9" x14ac:dyDescent="0.35">
      <c r="A1521" s="401">
        <v>41340</v>
      </c>
      <c r="B1521" s="402">
        <v>34740526994959.699</v>
      </c>
    </row>
    <row r="1522" spans="1:2" ht="12.9" x14ac:dyDescent="0.35">
      <c r="A1522" s="401">
        <v>41341</v>
      </c>
      <c r="B1522" s="402">
        <v>34740526994959.699</v>
      </c>
    </row>
    <row r="1523" spans="1:2" ht="12.9" x14ac:dyDescent="0.35">
      <c r="A1523" s="401">
        <v>41342</v>
      </c>
      <c r="B1523" s="402">
        <v>36694681638426.203</v>
      </c>
    </row>
    <row r="1524" spans="1:2" ht="12.9" x14ac:dyDescent="0.35">
      <c r="A1524" s="401">
        <v>41343</v>
      </c>
      <c r="B1524" s="402">
        <v>39734477750485.203</v>
      </c>
    </row>
    <row r="1525" spans="1:2" ht="12.9" x14ac:dyDescent="0.35">
      <c r="A1525" s="401">
        <v>41344</v>
      </c>
      <c r="B1525" s="402">
        <v>35609040169833.703</v>
      </c>
    </row>
    <row r="1526" spans="1:2" ht="12.9" x14ac:dyDescent="0.35">
      <c r="A1526" s="401">
        <v>41345</v>
      </c>
      <c r="B1526" s="402">
        <v>29312319651997.199</v>
      </c>
    </row>
    <row r="1527" spans="1:2" ht="12.9" x14ac:dyDescent="0.35">
      <c r="A1527" s="401">
        <v>41346</v>
      </c>
      <c r="B1527" s="402">
        <v>34089142113804.199</v>
      </c>
    </row>
    <row r="1528" spans="1:2" ht="12.9" x14ac:dyDescent="0.35">
      <c r="A1528" s="401">
        <v>41347</v>
      </c>
      <c r="B1528" s="402">
        <v>43135034612145.398</v>
      </c>
    </row>
    <row r="1529" spans="1:2" ht="12.9" x14ac:dyDescent="0.35">
      <c r="A1529" s="401">
        <v>41348</v>
      </c>
      <c r="B1529" s="402">
        <v>41448189683178.898</v>
      </c>
    </row>
    <row r="1530" spans="1:2" ht="12.9" x14ac:dyDescent="0.35">
      <c r="A1530" s="401">
        <v>41349</v>
      </c>
      <c r="B1530" s="402">
        <v>42171123224164.5</v>
      </c>
    </row>
    <row r="1531" spans="1:2" ht="12.9" x14ac:dyDescent="0.35">
      <c r="A1531" s="401">
        <v>41350</v>
      </c>
      <c r="B1531" s="402">
        <v>50364370022002.203</v>
      </c>
    </row>
    <row r="1532" spans="1:2" ht="12.9" x14ac:dyDescent="0.35">
      <c r="A1532" s="401">
        <v>41351</v>
      </c>
      <c r="B1532" s="402">
        <v>45785790929092.898</v>
      </c>
    </row>
    <row r="1533" spans="1:2" ht="12.9" x14ac:dyDescent="0.35">
      <c r="A1533" s="401">
        <v>41352</v>
      </c>
      <c r="B1533" s="402">
        <v>40966233989188.398</v>
      </c>
    </row>
    <row r="1534" spans="1:2" ht="12.9" x14ac:dyDescent="0.35">
      <c r="A1534" s="401">
        <v>41353</v>
      </c>
      <c r="B1534" s="402">
        <v>50846325715992.703</v>
      </c>
    </row>
    <row r="1535" spans="1:2" ht="12.9" x14ac:dyDescent="0.35">
      <c r="A1535" s="401">
        <v>41354</v>
      </c>
      <c r="B1535" s="402">
        <v>52533170644959.297</v>
      </c>
    </row>
    <row r="1536" spans="1:2" ht="12.9" x14ac:dyDescent="0.35">
      <c r="A1536" s="401">
        <v>41355</v>
      </c>
      <c r="B1536" s="402">
        <v>55183926961906.703</v>
      </c>
    </row>
    <row r="1537" spans="1:2" ht="12.9" x14ac:dyDescent="0.35">
      <c r="A1537" s="401">
        <v>41356</v>
      </c>
      <c r="B1537" s="402">
        <v>52292192797964</v>
      </c>
    </row>
    <row r="1538" spans="1:2" ht="12.9" x14ac:dyDescent="0.35">
      <c r="A1538" s="401">
        <v>41357</v>
      </c>
      <c r="B1538" s="402">
        <v>45544813082097.703</v>
      </c>
    </row>
    <row r="1539" spans="1:2" ht="12.9" x14ac:dyDescent="0.35">
      <c r="A1539" s="401">
        <v>41358</v>
      </c>
      <c r="B1539" s="402">
        <v>47930591508637</v>
      </c>
    </row>
    <row r="1540" spans="1:2" ht="12.9" x14ac:dyDescent="0.35">
      <c r="A1540" s="401">
        <v>41359</v>
      </c>
      <c r="B1540" s="402">
        <v>50260550818084.703</v>
      </c>
    </row>
    <row r="1541" spans="1:2" ht="12.9" x14ac:dyDescent="0.35">
      <c r="A1541" s="401">
        <v>41360</v>
      </c>
      <c r="B1541" s="402">
        <v>43603524219662.797</v>
      </c>
    </row>
    <row r="1542" spans="1:2" ht="12.9" x14ac:dyDescent="0.35">
      <c r="A1542" s="401">
        <v>41361</v>
      </c>
      <c r="B1542" s="402">
        <v>60911793375559.602</v>
      </c>
    </row>
    <row r="1543" spans="1:2" ht="12.9" x14ac:dyDescent="0.35">
      <c r="A1543" s="401">
        <v>41362</v>
      </c>
      <c r="B1543" s="402">
        <v>57916131406269.703</v>
      </c>
    </row>
    <row r="1544" spans="1:2" ht="12.9" x14ac:dyDescent="0.35">
      <c r="A1544" s="401">
        <v>41363</v>
      </c>
      <c r="B1544" s="402">
        <v>57583280076348.602</v>
      </c>
    </row>
    <row r="1545" spans="1:2" ht="12.9" x14ac:dyDescent="0.35">
      <c r="A1545" s="401">
        <v>41364</v>
      </c>
      <c r="B1545" s="402">
        <v>56251874756664.297</v>
      </c>
    </row>
    <row r="1546" spans="1:2" ht="12.9" x14ac:dyDescent="0.35">
      <c r="A1546" s="401">
        <v>41365</v>
      </c>
      <c r="B1546" s="402">
        <v>65904563324375.898</v>
      </c>
    </row>
    <row r="1547" spans="1:2" ht="12.9" x14ac:dyDescent="0.35">
      <c r="A1547" s="401">
        <v>41366</v>
      </c>
      <c r="B1547" s="402">
        <v>60246090715717.398</v>
      </c>
    </row>
    <row r="1548" spans="1:2" ht="12.9" x14ac:dyDescent="0.35">
      <c r="A1548" s="401">
        <v>41367</v>
      </c>
      <c r="B1548" s="402">
        <v>58248982736190.797</v>
      </c>
    </row>
    <row r="1549" spans="1:2" ht="12.9" x14ac:dyDescent="0.35">
      <c r="A1549" s="401">
        <v>41368</v>
      </c>
      <c r="B1549" s="402">
        <v>51259104807847.898</v>
      </c>
    </row>
    <row r="1550" spans="1:2" ht="12.9" x14ac:dyDescent="0.35">
      <c r="A1550" s="401">
        <v>41369</v>
      </c>
      <c r="B1550" s="402">
        <v>52590510127532.297</v>
      </c>
    </row>
    <row r="1551" spans="1:2" ht="12.9" x14ac:dyDescent="0.35">
      <c r="A1551" s="401">
        <v>41370</v>
      </c>
      <c r="B1551" s="402">
        <v>62172583867286.203</v>
      </c>
    </row>
    <row r="1552" spans="1:2" ht="12.9" x14ac:dyDescent="0.35">
      <c r="A1552" s="401">
        <v>41371</v>
      </c>
      <c r="B1552" s="402">
        <v>62554010762177.5</v>
      </c>
    </row>
    <row r="1553" spans="1:2" ht="12.9" x14ac:dyDescent="0.35">
      <c r="A1553" s="401">
        <v>41372</v>
      </c>
      <c r="B1553" s="402">
        <v>59121168708155.602</v>
      </c>
    </row>
    <row r="1554" spans="1:2" ht="12.9" x14ac:dyDescent="0.35">
      <c r="A1554" s="401">
        <v>41373</v>
      </c>
      <c r="B1554" s="402">
        <v>67131133500873.398</v>
      </c>
    </row>
    <row r="1555" spans="1:2" ht="12.9" x14ac:dyDescent="0.35">
      <c r="A1555" s="401">
        <v>41374</v>
      </c>
      <c r="B1555" s="402">
        <v>72852536924243.297</v>
      </c>
    </row>
    <row r="1556" spans="1:2" ht="12.9" x14ac:dyDescent="0.35">
      <c r="A1556" s="401">
        <v>41375</v>
      </c>
      <c r="B1556" s="402">
        <v>61028303182612.203</v>
      </c>
    </row>
    <row r="1557" spans="1:2" ht="12.9" x14ac:dyDescent="0.35">
      <c r="A1557" s="401">
        <v>41376</v>
      </c>
      <c r="B1557" s="402">
        <v>65986852816199.398</v>
      </c>
    </row>
    <row r="1558" spans="1:2" ht="12.9" x14ac:dyDescent="0.35">
      <c r="A1558" s="401">
        <v>41377</v>
      </c>
      <c r="B1558" s="402">
        <v>63698291446851.5</v>
      </c>
    </row>
    <row r="1559" spans="1:2" ht="12.9" x14ac:dyDescent="0.35">
      <c r="A1559" s="401">
        <v>41378</v>
      </c>
      <c r="B1559" s="402">
        <v>58358314918372.898</v>
      </c>
    </row>
    <row r="1560" spans="1:2" ht="12.9" x14ac:dyDescent="0.35">
      <c r="A1560" s="401">
        <v>41379</v>
      </c>
      <c r="B1560" s="402">
        <v>62554010762177.5</v>
      </c>
    </row>
    <row r="1561" spans="1:2" ht="12.9" x14ac:dyDescent="0.35">
      <c r="A1561" s="401">
        <v>41380</v>
      </c>
      <c r="B1561" s="402">
        <v>67512560395764.797</v>
      </c>
    </row>
    <row r="1562" spans="1:2" ht="12.9" x14ac:dyDescent="0.35">
      <c r="A1562" s="401">
        <v>41381</v>
      </c>
      <c r="B1562" s="402">
        <v>65223999026416.797</v>
      </c>
    </row>
    <row r="1563" spans="1:2" ht="12.9" x14ac:dyDescent="0.35">
      <c r="A1563" s="401">
        <v>41382</v>
      </c>
      <c r="B1563" s="402">
        <v>65578857172338.797</v>
      </c>
    </row>
    <row r="1564" spans="1:2" ht="12.9" x14ac:dyDescent="0.35">
      <c r="A1564" s="401">
        <v>41383</v>
      </c>
      <c r="B1564" s="402">
        <v>61117710425921.203</v>
      </c>
    </row>
    <row r="1565" spans="1:2" ht="12.9" x14ac:dyDescent="0.35">
      <c r="A1565" s="401">
        <v>41384</v>
      </c>
      <c r="B1565" s="402">
        <v>68701659894831.102</v>
      </c>
    </row>
    <row r="1566" spans="1:2" ht="12.9" x14ac:dyDescent="0.35">
      <c r="A1566" s="401">
        <v>41385</v>
      </c>
      <c r="B1566" s="402">
        <v>78516182736949.797</v>
      </c>
    </row>
    <row r="1567" spans="1:2" ht="12.9" x14ac:dyDescent="0.35">
      <c r="A1567" s="401">
        <v>41386</v>
      </c>
      <c r="B1567" s="402">
        <v>68255545220189.297</v>
      </c>
    </row>
    <row r="1568" spans="1:2" ht="12.9" x14ac:dyDescent="0.35">
      <c r="A1568" s="401">
        <v>41387</v>
      </c>
      <c r="B1568" s="402">
        <v>74947265339815.797</v>
      </c>
    </row>
    <row r="1569" spans="1:2" ht="12.9" x14ac:dyDescent="0.35">
      <c r="A1569" s="401">
        <v>41388</v>
      </c>
      <c r="B1569" s="402">
        <v>72270577291965.203</v>
      </c>
    </row>
    <row r="1570" spans="1:2" ht="12.9" x14ac:dyDescent="0.35">
      <c r="A1570" s="401">
        <v>41389</v>
      </c>
      <c r="B1570" s="402">
        <v>76731724038382.797</v>
      </c>
    </row>
    <row r="1571" spans="1:2" ht="12.9" x14ac:dyDescent="0.35">
      <c r="A1571" s="401">
        <v>41390</v>
      </c>
      <c r="B1571" s="402">
        <v>76285609363741.094</v>
      </c>
    </row>
    <row r="1572" spans="1:2" ht="12.9" x14ac:dyDescent="0.35">
      <c r="A1572" s="401">
        <v>41391</v>
      </c>
      <c r="B1572" s="402">
        <v>65578857172338.797</v>
      </c>
    </row>
    <row r="1573" spans="1:2" ht="12.9" x14ac:dyDescent="0.35">
      <c r="A1573" s="401">
        <v>41392</v>
      </c>
      <c r="B1573" s="402">
        <v>78962297411591.594</v>
      </c>
    </row>
    <row r="1574" spans="1:2" ht="12.9" x14ac:dyDescent="0.35">
      <c r="A1574" s="401">
        <v>41393</v>
      </c>
      <c r="B1574" s="402">
        <v>77623953387666.297</v>
      </c>
    </row>
    <row r="1575" spans="1:2" ht="12.9" x14ac:dyDescent="0.35">
      <c r="A1575" s="401">
        <v>41394</v>
      </c>
      <c r="B1575" s="402">
        <v>74633390176076.094</v>
      </c>
    </row>
    <row r="1576" spans="1:2" ht="12.9" x14ac:dyDescent="0.35">
      <c r="A1576" s="401">
        <v>41395</v>
      </c>
      <c r="B1576" s="402">
        <v>75635180648238.203</v>
      </c>
    </row>
    <row r="1577" spans="1:2" ht="12.9" x14ac:dyDescent="0.35">
      <c r="A1577" s="401">
        <v>41396</v>
      </c>
      <c r="B1577" s="402">
        <v>67119961634860.398</v>
      </c>
    </row>
    <row r="1578" spans="1:2" ht="12.9" x14ac:dyDescent="0.35">
      <c r="A1578" s="401">
        <v>41397</v>
      </c>
      <c r="B1578" s="402">
        <v>68622647343103.5</v>
      </c>
    </row>
    <row r="1579" spans="1:2" ht="12.9" x14ac:dyDescent="0.35">
      <c r="A1579" s="401">
        <v>41398</v>
      </c>
      <c r="B1579" s="402">
        <v>79642342536886.594</v>
      </c>
    </row>
    <row r="1580" spans="1:2" ht="12.9" x14ac:dyDescent="0.35">
      <c r="A1580" s="401">
        <v>41399</v>
      </c>
      <c r="B1580" s="402">
        <v>82647713953372.906</v>
      </c>
    </row>
    <row r="1581" spans="1:2" ht="12.9" x14ac:dyDescent="0.35">
      <c r="A1581" s="401">
        <v>41400</v>
      </c>
      <c r="B1581" s="402">
        <v>83148609189453.906</v>
      </c>
    </row>
    <row r="1582" spans="1:2" ht="12.9" x14ac:dyDescent="0.35">
      <c r="A1582" s="401">
        <v>41401</v>
      </c>
      <c r="B1582" s="402">
        <v>84150399661616</v>
      </c>
    </row>
    <row r="1583" spans="1:2" ht="12.9" x14ac:dyDescent="0.35">
      <c r="A1583" s="401">
        <v>41402</v>
      </c>
      <c r="B1583" s="402">
        <v>82647713953372.906</v>
      </c>
    </row>
    <row r="1584" spans="1:2" ht="12.9" x14ac:dyDescent="0.35">
      <c r="A1584" s="401">
        <v>41403</v>
      </c>
      <c r="B1584" s="402">
        <v>82146818717291.797</v>
      </c>
    </row>
    <row r="1585" spans="1:2" ht="12.9" x14ac:dyDescent="0.35">
      <c r="A1585" s="401">
        <v>41404</v>
      </c>
      <c r="B1585" s="402">
        <v>86153980605940.203</v>
      </c>
    </row>
    <row r="1586" spans="1:2" ht="12.9" x14ac:dyDescent="0.35">
      <c r="A1586" s="401">
        <v>41405</v>
      </c>
      <c r="B1586" s="402">
        <v>91162932966750.703</v>
      </c>
    </row>
    <row r="1587" spans="1:2" ht="12.9" x14ac:dyDescent="0.35">
      <c r="A1587" s="401">
        <v>41406</v>
      </c>
      <c r="B1587" s="402">
        <v>84150399661616</v>
      </c>
    </row>
    <row r="1588" spans="1:2" ht="12.9" x14ac:dyDescent="0.35">
      <c r="A1588" s="401">
        <v>41407</v>
      </c>
      <c r="B1588" s="402">
        <v>96765155755616.797</v>
      </c>
    </row>
    <row r="1589" spans="1:2" ht="12.9" x14ac:dyDescent="0.35">
      <c r="A1589" s="401">
        <v>41408</v>
      </c>
      <c r="B1589" s="402">
        <v>85642724059568.906</v>
      </c>
    </row>
    <row r="1590" spans="1:2" ht="12.9" x14ac:dyDescent="0.35">
      <c r="A1590" s="401">
        <v>41409</v>
      </c>
      <c r="B1590" s="402">
        <v>78413143457137.797</v>
      </c>
    </row>
    <row r="1591" spans="1:2" ht="12.9" x14ac:dyDescent="0.35">
      <c r="A1591" s="401">
        <v>41410</v>
      </c>
      <c r="B1591" s="402">
        <v>82305994550754.5</v>
      </c>
    </row>
    <row r="1592" spans="1:2" ht="12.9" x14ac:dyDescent="0.35">
      <c r="A1592" s="401">
        <v>41411</v>
      </c>
      <c r="B1592" s="402">
        <v>89535575153185.703</v>
      </c>
    </row>
    <row r="1593" spans="1:2" ht="12.9" x14ac:dyDescent="0.35">
      <c r="A1593" s="401">
        <v>41412</v>
      </c>
      <c r="B1593" s="402">
        <v>82862116135556.906</v>
      </c>
    </row>
    <row r="1594" spans="1:2" ht="12.9" x14ac:dyDescent="0.35">
      <c r="A1594" s="401">
        <v>41413</v>
      </c>
      <c r="B1594" s="402">
        <v>86754967229173.703</v>
      </c>
    </row>
    <row r="1595" spans="1:2" ht="12.9" x14ac:dyDescent="0.35">
      <c r="A1595" s="401">
        <v>41414</v>
      </c>
      <c r="B1595" s="402">
        <v>71739684439509</v>
      </c>
    </row>
    <row r="1596" spans="1:2" ht="12.9" x14ac:dyDescent="0.35">
      <c r="A1596" s="401">
        <v>41415</v>
      </c>
      <c r="B1596" s="402">
        <v>83974359305161.703</v>
      </c>
    </row>
    <row r="1597" spans="1:2" ht="12.9" x14ac:dyDescent="0.35">
      <c r="A1597" s="401">
        <v>41416</v>
      </c>
      <c r="B1597" s="402">
        <v>86754967229173.703</v>
      </c>
    </row>
    <row r="1598" spans="1:2" ht="12.9" x14ac:dyDescent="0.35">
      <c r="A1598" s="401">
        <v>41417</v>
      </c>
      <c r="B1598" s="402">
        <v>96765155755616.797</v>
      </c>
    </row>
    <row r="1599" spans="1:2" ht="12.9" x14ac:dyDescent="0.35">
      <c r="A1599" s="401">
        <v>41418</v>
      </c>
      <c r="B1599" s="402">
        <v>93984547831604.797</v>
      </c>
    </row>
    <row r="1600" spans="1:2" ht="12.9" x14ac:dyDescent="0.35">
      <c r="A1600" s="401">
        <v>41419</v>
      </c>
      <c r="B1600" s="402">
        <v>91760061492395.297</v>
      </c>
    </row>
    <row r="1601" spans="1:2" ht="12.9" x14ac:dyDescent="0.35">
      <c r="A1601" s="401">
        <v>41420</v>
      </c>
      <c r="B1601" s="402">
        <v>98476347802911.703</v>
      </c>
    </row>
    <row r="1602" spans="1:2" ht="12.9" x14ac:dyDescent="0.35">
      <c r="A1602" s="401">
        <v>41421</v>
      </c>
      <c r="B1602" s="402">
        <v>106330289652223</v>
      </c>
    </row>
    <row r="1603" spans="1:2" ht="12.9" x14ac:dyDescent="0.35">
      <c r="A1603" s="401">
        <v>41422</v>
      </c>
      <c r="B1603" s="402">
        <v>95455600937791.703</v>
      </c>
    </row>
    <row r="1604" spans="1:2" ht="12.9" x14ac:dyDescent="0.35">
      <c r="A1604" s="401">
        <v>41423</v>
      </c>
      <c r="B1604" s="402">
        <v>101497094668031</v>
      </c>
    </row>
    <row r="1605" spans="1:2" ht="12.9" x14ac:dyDescent="0.35">
      <c r="A1605" s="401">
        <v>41424</v>
      </c>
      <c r="B1605" s="402">
        <v>108142737771295</v>
      </c>
    </row>
    <row r="1606" spans="1:2" ht="12.9" x14ac:dyDescent="0.35">
      <c r="A1606" s="401">
        <v>41425</v>
      </c>
      <c r="B1606" s="402">
        <v>105726140279199</v>
      </c>
    </row>
    <row r="1607" spans="1:2" ht="12.9" x14ac:dyDescent="0.35">
      <c r="A1607" s="401">
        <v>41426</v>
      </c>
      <c r="B1607" s="402">
        <v>128683816454111</v>
      </c>
    </row>
    <row r="1608" spans="1:2" ht="12.9" x14ac:dyDescent="0.35">
      <c r="A1608" s="401">
        <v>41427</v>
      </c>
      <c r="B1608" s="402">
        <v>120225725231775</v>
      </c>
    </row>
    <row r="1609" spans="1:2" ht="12.9" x14ac:dyDescent="0.35">
      <c r="A1609" s="401">
        <v>41428</v>
      </c>
      <c r="B1609" s="402">
        <v>128683816454111</v>
      </c>
    </row>
    <row r="1610" spans="1:2" ht="12.9" x14ac:dyDescent="0.35">
      <c r="A1610" s="401">
        <v>41429</v>
      </c>
      <c r="B1610" s="402">
        <v>128683816454111</v>
      </c>
    </row>
    <row r="1611" spans="1:2" ht="12.9" x14ac:dyDescent="0.35">
      <c r="A1611" s="401">
        <v>41430</v>
      </c>
      <c r="B1611" s="402">
        <v>111163484636415</v>
      </c>
    </row>
    <row r="1612" spans="1:2" ht="12.9" x14ac:dyDescent="0.35">
      <c r="A1612" s="401">
        <v>41431</v>
      </c>
      <c r="B1612" s="402">
        <v>140412597704738</v>
      </c>
    </row>
    <row r="1613" spans="1:2" ht="12.9" x14ac:dyDescent="0.35">
      <c r="A1613" s="401">
        <v>41432</v>
      </c>
      <c r="B1613" s="402">
        <v>124897393538468</v>
      </c>
    </row>
    <row r="1614" spans="1:2" ht="12.9" x14ac:dyDescent="0.35">
      <c r="A1614" s="401">
        <v>41433</v>
      </c>
      <c r="B1614" s="402">
        <v>140412597704738</v>
      </c>
    </row>
    <row r="1615" spans="1:2" ht="12.9" x14ac:dyDescent="0.35">
      <c r="A1615" s="401">
        <v>41434</v>
      </c>
      <c r="B1615" s="402">
        <v>123345873121841</v>
      </c>
    </row>
    <row r="1616" spans="1:2" ht="12.9" x14ac:dyDescent="0.35">
      <c r="A1616" s="401">
        <v>41435</v>
      </c>
      <c r="B1616" s="402">
        <v>134982276246543</v>
      </c>
    </row>
    <row r="1617" spans="1:2" ht="12.9" x14ac:dyDescent="0.35">
      <c r="A1617" s="401">
        <v>41436</v>
      </c>
      <c r="B1617" s="402">
        <v>139636837496424</v>
      </c>
    </row>
    <row r="1618" spans="1:2" ht="12.9" x14ac:dyDescent="0.35">
      <c r="A1618" s="401">
        <v>41437</v>
      </c>
      <c r="B1618" s="402">
        <v>157479322287634</v>
      </c>
    </row>
    <row r="1619" spans="1:2" ht="12.9" x14ac:dyDescent="0.35">
      <c r="A1619" s="401">
        <v>41438</v>
      </c>
      <c r="B1619" s="402">
        <v>144291398746305</v>
      </c>
    </row>
    <row r="1620" spans="1:2" ht="12.9" x14ac:dyDescent="0.35">
      <c r="A1620" s="401">
        <v>41439</v>
      </c>
      <c r="B1620" s="402">
        <v>139636837496424</v>
      </c>
    </row>
    <row r="1621" spans="1:2" ht="12.9" x14ac:dyDescent="0.35">
      <c r="A1621" s="401">
        <v>41440</v>
      </c>
      <c r="B1621" s="402">
        <v>134206516038230</v>
      </c>
    </row>
    <row r="1622" spans="1:2" ht="12.9" x14ac:dyDescent="0.35">
      <c r="A1622" s="401">
        <v>41441</v>
      </c>
      <c r="B1622" s="402">
        <v>143515638537991</v>
      </c>
    </row>
    <row r="1623" spans="1:2" ht="12.9" x14ac:dyDescent="0.35">
      <c r="A1623" s="401">
        <v>41442</v>
      </c>
      <c r="B1623" s="402">
        <v>139397162755033</v>
      </c>
    </row>
    <row r="1624" spans="1:2" ht="12.9" x14ac:dyDescent="0.35">
      <c r="A1624" s="401">
        <v>41443</v>
      </c>
      <c r="B1624" s="402">
        <v>134590364039343</v>
      </c>
    </row>
    <row r="1625" spans="1:2" ht="12.9" x14ac:dyDescent="0.35">
      <c r="A1625" s="401">
        <v>41444</v>
      </c>
      <c r="B1625" s="402">
        <v>130744925066790</v>
      </c>
    </row>
    <row r="1626" spans="1:2" ht="12.9" x14ac:dyDescent="0.35">
      <c r="A1626" s="401">
        <v>41445</v>
      </c>
      <c r="B1626" s="402">
        <v>148049400443277</v>
      </c>
    </row>
    <row r="1627" spans="1:2" ht="12.9" x14ac:dyDescent="0.35">
      <c r="A1627" s="401">
        <v>41446</v>
      </c>
      <c r="B1627" s="402">
        <v>161508436847211</v>
      </c>
    </row>
    <row r="1628" spans="1:2" ht="12.9" x14ac:dyDescent="0.35">
      <c r="A1628" s="401">
        <v>41447</v>
      </c>
      <c r="B1628" s="402">
        <v>169199314792317</v>
      </c>
    </row>
    <row r="1629" spans="1:2" ht="12.9" x14ac:dyDescent="0.35">
      <c r="A1629" s="401">
        <v>41448</v>
      </c>
      <c r="B1629" s="402">
        <v>158624357617797</v>
      </c>
    </row>
    <row r="1630" spans="1:2" ht="12.9" x14ac:dyDescent="0.35">
      <c r="A1630" s="401">
        <v>41449</v>
      </c>
      <c r="B1630" s="402">
        <v>144203961470724</v>
      </c>
    </row>
    <row r="1631" spans="1:2" ht="12.9" x14ac:dyDescent="0.35">
      <c r="A1631" s="401">
        <v>41450</v>
      </c>
      <c r="B1631" s="402">
        <v>150933479672691</v>
      </c>
    </row>
    <row r="1632" spans="1:2" ht="12.9" x14ac:dyDescent="0.35">
      <c r="A1632" s="401">
        <v>41451</v>
      </c>
      <c r="B1632" s="402">
        <v>167276595306040</v>
      </c>
    </row>
    <row r="1633" spans="1:2" ht="12.9" x14ac:dyDescent="0.35">
      <c r="A1633" s="401">
        <v>41452</v>
      </c>
      <c r="B1633" s="402">
        <v>160547077104073</v>
      </c>
    </row>
    <row r="1634" spans="1:2" ht="12.9" x14ac:dyDescent="0.35">
      <c r="A1634" s="401">
        <v>41453</v>
      </c>
      <c r="B1634" s="402">
        <v>162469796590349</v>
      </c>
    </row>
    <row r="1635" spans="1:2" ht="12.9" x14ac:dyDescent="0.35">
      <c r="A1635" s="401">
        <v>41454</v>
      </c>
      <c r="B1635" s="402">
        <v>162469796590349</v>
      </c>
    </row>
    <row r="1636" spans="1:2" ht="12.9" x14ac:dyDescent="0.35">
      <c r="A1636" s="401">
        <v>41455</v>
      </c>
      <c r="B1636" s="402">
        <v>162269499322755</v>
      </c>
    </row>
    <row r="1637" spans="1:2" ht="12.9" x14ac:dyDescent="0.35">
      <c r="A1637" s="401">
        <v>41456</v>
      </c>
      <c r="B1637" s="402">
        <v>166511839174330</v>
      </c>
    </row>
    <row r="1638" spans="1:2" ht="12.9" x14ac:dyDescent="0.35">
      <c r="A1638" s="401">
        <v>41457</v>
      </c>
      <c r="B1638" s="402">
        <v>162269499322755</v>
      </c>
    </row>
    <row r="1639" spans="1:2" ht="12.9" x14ac:dyDescent="0.35">
      <c r="A1639" s="401">
        <v>41458</v>
      </c>
      <c r="B1639" s="402">
        <v>195147633172464</v>
      </c>
    </row>
    <row r="1640" spans="1:2" ht="12.9" x14ac:dyDescent="0.35">
      <c r="A1640" s="401">
        <v>41459</v>
      </c>
      <c r="B1640" s="402">
        <v>174996518877481</v>
      </c>
    </row>
    <row r="1641" spans="1:2" ht="12.9" x14ac:dyDescent="0.35">
      <c r="A1641" s="401">
        <v>41460</v>
      </c>
      <c r="B1641" s="402">
        <v>197268803098251</v>
      </c>
    </row>
    <row r="1642" spans="1:2" ht="12.9" x14ac:dyDescent="0.35">
      <c r="A1642" s="401">
        <v>41461</v>
      </c>
      <c r="B1642" s="402">
        <v>198329388061145</v>
      </c>
    </row>
    <row r="1643" spans="1:2" ht="12.9" x14ac:dyDescent="0.35">
      <c r="A1643" s="401">
        <v>41462</v>
      </c>
      <c r="B1643" s="402">
        <v>197268803098251</v>
      </c>
    </row>
    <row r="1644" spans="1:2" ht="12.9" x14ac:dyDescent="0.35">
      <c r="A1644" s="401">
        <v>41463</v>
      </c>
      <c r="B1644" s="402">
        <v>203632312875614</v>
      </c>
    </row>
    <row r="1645" spans="1:2" ht="12.9" x14ac:dyDescent="0.35">
      <c r="A1645" s="401">
        <v>41464</v>
      </c>
      <c r="B1645" s="403">
        <v>196208218135358</v>
      </c>
    </row>
    <row r="1646" spans="1:2" ht="12.9" x14ac:dyDescent="0.35">
      <c r="A1646" s="401">
        <v>41465</v>
      </c>
      <c r="B1646" s="402">
        <v>206814067764296</v>
      </c>
    </row>
    <row r="1647" spans="1:2" ht="12.9" x14ac:dyDescent="0.35">
      <c r="A1647" s="401">
        <v>41466</v>
      </c>
      <c r="B1647" s="402">
        <v>226298067180983</v>
      </c>
    </row>
    <row r="1648" spans="1:2" ht="12.9" x14ac:dyDescent="0.35">
      <c r="A1648" s="401">
        <v>41467</v>
      </c>
      <c r="B1648" s="402">
        <v>200286795091215</v>
      </c>
    </row>
    <row r="1649" spans="1:2" ht="12.9" x14ac:dyDescent="0.35">
      <c r="A1649" s="401">
        <v>41468</v>
      </c>
      <c r="B1649" s="402">
        <v>204188485904680</v>
      </c>
    </row>
    <row r="1650" spans="1:2" ht="12.9" x14ac:dyDescent="0.35">
      <c r="A1650" s="401">
        <v>41469</v>
      </c>
      <c r="B1650" s="402">
        <v>223696939972006</v>
      </c>
    </row>
    <row r="1651" spans="1:2" ht="12.9" x14ac:dyDescent="0.35">
      <c r="A1651" s="401">
        <v>41470</v>
      </c>
      <c r="B1651" s="402">
        <v>213292431136099</v>
      </c>
    </row>
    <row r="1652" spans="1:2" ht="12.9" x14ac:dyDescent="0.35">
      <c r="A1652" s="401">
        <v>41471</v>
      </c>
      <c r="B1652" s="402">
        <v>213292431136099</v>
      </c>
    </row>
    <row r="1653" spans="1:2" ht="12.9" x14ac:dyDescent="0.35">
      <c r="A1653" s="401">
        <v>41472</v>
      </c>
      <c r="B1653" s="402">
        <v>239303703225867</v>
      </c>
    </row>
    <row r="1654" spans="1:2" ht="12.9" x14ac:dyDescent="0.35">
      <c r="A1654" s="401">
        <v>41473</v>
      </c>
      <c r="B1654" s="402">
        <v>209390740322634</v>
      </c>
    </row>
    <row r="1655" spans="1:2" ht="12.9" x14ac:dyDescent="0.35">
      <c r="A1655" s="401">
        <v>41474</v>
      </c>
      <c r="B1655" s="402">
        <v>222396376367518</v>
      </c>
    </row>
    <row r="1656" spans="1:2" ht="12.9" x14ac:dyDescent="0.35">
      <c r="A1656" s="401">
        <v>41475</v>
      </c>
      <c r="B1656" s="402">
        <v>241904830434844</v>
      </c>
    </row>
    <row r="1657" spans="1:2" ht="12.9" x14ac:dyDescent="0.35">
      <c r="A1657" s="401">
        <v>41476</v>
      </c>
      <c r="B1657" s="402">
        <v>258812157293193</v>
      </c>
    </row>
    <row r="1658" spans="1:2" ht="12.9" x14ac:dyDescent="0.35">
      <c r="A1658" s="401">
        <v>41477</v>
      </c>
      <c r="B1658" s="402">
        <v>214592994740587</v>
      </c>
    </row>
    <row r="1659" spans="1:2" ht="12.9" x14ac:dyDescent="0.35">
      <c r="A1659" s="401">
        <v>41478</v>
      </c>
      <c r="B1659" s="402">
        <v>219084664328419</v>
      </c>
    </row>
    <row r="1660" spans="1:2" ht="12.9" x14ac:dyDescent="0.35">
      <c r="A1660" s="401">
        <v>41479</v>
      </c>
      <c r="B1660" s="402">
        <v>247052919349068</v>
      </c>
    </row>
    <row r="1661" spans="1:2" ht="12.9" x14ac:dyDescent="0.35">
      <c r="A1661" s="401">
        <v>41480</v>
      </c>
      <c r="B1661" s="402">
        <v>226853624056377</v>
      </c>
    </row>
    <row r="1662" spans="1:2" ht="12.9" x14ac:dyDescent="0.35">
      <c r="A1662" s="401">
        <v>41481</v>
      </c>
      <c r="B1662" s="402">
        <v>254821879077026</v>
      </c>
    </row>
    <row r="1663" spans="1:2" ht="12.9" x14ac:dyDescent="0.35">
      <c r="A1663" s="401">
        <v>41482</v>
      </c>
      <c r="B1663" s="402">
        <v>281236342152084</v>
      </c>
    </row>
    <row r="1664" spans="1:2" ht="12.9" x14ac:dyDescent="0.35">
      <c r="A1664" s="401">
        <v>41483</v>
      </c>
      <c r="B1664" s="402">
        <v>261037046859392</v>
      </c>
    </row>
    <row r="1665" spans="1:2" ht="12.9" x14ac:dyDescent="0.35">
      <c r="A1665" s="401">
        <v>41484</v>
      </c>
      <c r="B1665" s="402">
        <v>276574966315309</v>
      </c>
    </row>
    <row r="1666" spans="1:2" ht="12.9" x14ac:dyDescent="0.35">
      <c r="A1666" s="401">
        <v>41485</v>
      </c>
      <c r="B1666" s="403">
        <v>306097013281550</v>
      </c>
    </row>
    <row r="1667" spans="1:2" ht="12.9" x14ac:dyDescent="0.35">
      <c r="A1667" s="401">
        <v>41486</v>
      </c>
      <c r="B1667" s="402">
        <v>295220469662408</v>
      </c>
    </row>
    <row r="1668" spans="1:2" ht="12.9" x14ac:dyDescent="0.35">
      <c r="A1668" s="401">
        <v>41487</v>
      </c>
      <c r="B1668" s="402">
        <v>275021174369717</v>
      </c>
    </row>
    <row r="1669" spans="1:2" ht="12.9" x14ac:dyDescent="0.35">
      <c r="A1669" s="401">
        <v>41488</v>
      </c>
      <c r="B1669" s="402">
        <v>298328053553591</v>
      </c>
    </row>
    <row r="1670" spans="1:2" ht="12.9" x14ac:dyDescent="0.35">
      <c r="A1670" s="401">
        <v>41489</v>
      </c>
      <c r="B1670" s="402">
        <v>264144630750576</v>
      </c>
    </row>
    <row r="1671" spans="1:2" ht="12.9" x14ac:dyDescent="0.35">
      <c r="A1671" s="401">
        <v>41490</v>
      </c>
      <c r="B1671" s="402">
        <v>332726003140465</v>
      </c>
    </row>
    <row r="1672" spans="1:2" ht="12.9" x14ac:dyDescent="0.35">
      <c r="A1672" s="401">
        <v>41491</v>
      </c>
      <c r="B1672" s="402">
        <v>351314048008648</v>
      </c>
    </row>
    <row r="1673" spans="1:2" ht="12.9" x14ac:dyDescent="0.35">
      <c r="A1673" s="401">
        <v>41492</v>
      </c>
      <c r="B1673" s="402">
        <v>353172852495466</v>
      </c>
    </row>
    <row r="1674" spans="1:2" ht="12.9" x14ac:dyDescent="0.35">
      <c r="A1674" s="401">
        <v>41493</v>
      </c>
      <c r="B1674" s="402">
        <v>345737634548193</v>
      </c>
    </row>
    <row r="1675" spans="1:2" ht="12.9" x14ac:dyDescent="0.35">
      <c r="A1675" s="401">
        <v>41494</v>
      </c>
      <c r="B1675" s="402">
        <v>381054919797740</v>
      </c>
    </row>
    <row r="1676" spans="1:2" ht="12.9" x14ac:dyDescent="0.35">
      <c r="A1676" s="401">
        <v>41495</v>
      </c>
      <c r="B1676" s="402">
        <v>362466874929557</v>
      </c>
    </row>
    <row r="1677" spans="1:2" ht="12.9" x14ac:dyDescent="0.35">
      <c r="A1677" s="401">
        <v>41496</v>
      </c>
      <c r="B1677" s="402">
        <v>390348942231831</v>
      </c>
    </row>
    <row r="1678" spans="1:2" ht="12.9" x14ac:dyDescent="0.35">
      <c r="A1678" s="401">
        <v>41497</v>
      </c>
      <c r="B1678" s="402">
        <v>401501769152740</v>
      </c>
    </row>
    <row r="1679" spans="1:2" ht="12.9" x14ac:dyDescent="0.35">
      <c r="A1679" s="401">
        <v>41498</v>
      </c>
      <c r="B1679" s="402">
        <v>401501769152740</v>
      </c>
    </row>
    <row r="1680" spans="1:2" ht="12.9" x14ac:dyDescent="0.35">
      <c r="A1680" s="401">
        <v>41499</v>
      </c>
      <c r="B1680" s="402">
        <v>340161221087738</v>
      </c>
    </row>
    <row r="1681" spans="1:2" ht="12.9" x14ac:dyDescent="0.35">
      <c r="A1681" s="401">
        <v>41500</v>
      </c>
      <c r="B1681" s="402">
        <v>424333669880228</v>
      </c>
    </row>
    <row r="1682" spans="1:2" ht="12.9" x14ac:dyDescent="0.35">
      <c r="A1682" s="401">
        <v>41501</v>
      </c>
      <c r="B1682" s="402">
        <v>429385261188326</v>
      </c>
    </row>
    <row r="1683" spans="1:2" ht="12.9" x14ac:dyDescent="0.35">
      <c r="A1683" s="401">
        <v>41502</v>
      </c>
      <c r="B1683" s="402">
        <v>424333669880228</v>
      </c>
    </row>
    <row r="1684" spans="1:2" ht="12.9" x14ac:dyDescent="0.35">
      <c r="A1684" s="401">
        <v>41503</v>
      </c>
      <c r="B1684" s="402">
        <v>479901174269305</v>
      </c>
    </row>
    <row r="1685" spans="1:2" ht="12.9" x14ac:dyDescent="0.35">
      <c r="A1685" s="401">
        <v>41504</v>
      </c>
      <c r="B1685" s="402">
        <v>490004356885501</v>
      </c>
    </row>
    <row r="1686" spans="1:2" ht="12.9" x14ac:dyDescent="0.35">
      <c r="A1686" s="401">
        <v>41505</v>
      </c>
      <c r="B1686" s="402">
        <v>447065830766669</v>
      </c>
    </row>
    <row r="1687" spans="1:2" ht="12.9" x14ac:dyDescent="0.35">
      <c r="A1687" s="401">
        <v>41506</v>
      </c>
      <c r="B1687" s="402">
        <v>479901174269305</v>
      </c>
    </row>
    <row r="1688" spans="1:2" ht="12.9" x14ac:dyDescent="0.35">
      <c r="A1688" s="401">
        <v>41507</v>
      </c>
      <c r="B1688" s="402">
        <v>495055948193599</v>
      </c>
    </row>
    <row r="1689" spans="1:2" ht="12.9" x14ac:dyDescent="0.35">
      <c r="A1689" s="401">
        <v>41508</v>
      </c>
      <c r="B1689" s="402">
        <v>545571861274579</v>
      </c>
    </row>
    <row r="1690" spans="1:2" ht="12.9" x14ac:dyDescent="0.35">
      <c r="A1690" s="401">
        <v>41509</v>
      </c>
      <c r="B1690" s="402">
        <v>495055948193599</v>
      </c>
    </row>
    <row r="1691" spans="1:2" ht="12.9" x14ac:dyDescent="0.35">
      <c r="A1691" s="401">
        <v>41510</v>
      </c>
      <c r="B1691" s="402">
        <v>462220604690963</v>
      </c>
    </row>
    <row r="1692" spans="1:2" ht="12.9" x14ac:dyDescent="0.35">
      <c r="A1692" s="401">
        <v>41511</v>
      </c>
      <c r="B1692" s="402">
        <v>493536435943844</v>
      </c>
    </row>
    <row r="1693" spans="1:2" ht="12.9" x14ac:dyDescent="0.35">
      <c r="A1693" s="401">
        <v>41512</v>
      </c>
      <c r="B1693" s="402">
        <v>542563234216411</v>
      </c>
    </row>
    <row r="1694" spans="1:2" ht="12.9" x14ac:dyDescent="0.35">
      <c r="A1694" s="401">
        <v>41513</v>
      </c>
      <c r="B1694" s="402">
        <v>552368593870925</v>
      </c>
    </row>
    <row r="1695" spans="1:2" ht="12.9" x14ac:dyDescent="0.35">
      <c r="A1695" s="401">
        <v>41514</v>
      </c>
      <c r="B1695" s="402">
        <v>581784672834465</v>
      </c>
    </row>
    <row r="1696" spans="1:2" ht="12.9" x14ac:dyDescent="0.35">
      <c r="A1696" s="401">
        <v>41515</v>
      </c>
      <c r="B1696" s="402">
        <v>617737658234348</v>
      </c>
    </row>
    <row r="1697" spans="1:2" ht="12.9" x14ac:dyDescent="0.35">
      <c r="A1697" s="401">
        <v>41516</v>
      </c>
      <c r="B1697" s="403">
        <v>670032909725087</v>
      </c>
    </row>
    <row r="1698" spans="1:2" ht="12.9" x14ac:dyDescent="0.35">
      <c r="A1698" s="401">
        <v>41517</v>
      </c>
      <c r="B1698" s="402">
        <v>728865067652167</v>
      </c>
    </row>
    <row r="1699" spans="1:2" ht="12.9" x14ac:dyDescent="0.35">
      <c r="A1699" s="401">
        <v>41518</v>
      </c>
      <c r="B1699" s="402">
        <v>722328161215825</v>
      </c>
    </row>
    <row r="1700" spans="1:2" ht="12.9" x14ac:dyDescent="0.35">
      <c r="A1700" s="401">
        <v>41519</v>
      </c>
      <c r="B1700" s="402">
        <v>702717441906798</v>
      </c>
    </row>
    <row r="1701" spans="1:2" ht="12.9" x14ac:dyDescent="0.35">
      <c r="A1701" s="401">
        <v>41520</v>
      </c>
      <c r="B1701" s="402">
        <v>634079924325204</v>
      </c>
    </row>
    <row r="1702" spans="1:2" ht="12.9" x14ac:dyDescent="0.35">
      <c r="A1702" s="401">
        <v>41521</v>
      </c>
      <c r="B1702" s="402">
        <v>704398591757548</v>
      </c>
    </row>
    <row r="1703" spans="1:2" ht="12.9" x14ac:dyDescent="0.35">
      <c r="A1703" s="401">
        <v>41522</v>
      </c>
      <c r="B1703" s="402">
        <v>773542011807369</v>
      </c>
    </row>
    <row r="1704" spans="1:2" ht="12.9" x14ac:dyDescent="0.35">
      <c r="A1704" s="401">
        <v>41523</v>
      </c>
      <c r="B1704" s="402">
        <v>799470794326051</v>
      </c>
    </row>
    <row r="1705" spans="1:2" ht="12.9" x14ac:dyDescent="0.35">
      <c r="A1705" s="401">
        <v>41524</v>
      </c>
      <c r="B1705" s="402">
        <v>626612244201500</v>
      </c>
    </row>
    <row r="1706" spans="1:2" ht="12.9" x14ac:dyDescent="0.35">
      <c r="A1706" s="401">
        <v>41525</v>
      </c>
      <c r="B1706" s="402">
        <v>678469809238865</v>
      </c>
    </row>
    <row r="1707" spans="1:2" ht="12.9" x14ac:dyDescent="0.35">
      <c r="A1707" s="401">
        <v>41526</v>
      </c>
      <c r="B1707" s="402">
        <v>877257141882100</v>
      </c>
    </row>
    <row r="1708" spans="1:2" ht="12.9" x14ac:dyDescent="0.35">
      <c r="A1708" s="401">
        <v>41527</v>
      </c>
      <c r="B1708" s="402">
        <v>825399576844734</v>
      </c>
    </row>
    <row r="1709" spans="1:2" ht="12.9" x14ac:dyDescent="0.35">
      <c r="A1709" s="401">
        <v>41528</v>
      </c>
      <c r="B1709" s="402">
        <v>864292750622758</v>
      </c>
    </row>
    <row r="1710" spans="1:2" ht="12.9" x14ac:dyDescent="0.35">
      <c r="A1710" s="401">
        <v>41529</v>
      </c>
      <c r="B1710" s="402">
        <v>920471779413238</v>
      </c>
    </row>
    <row r="1711" spans="1:2" ht="12.9" x14ac:dyDescent="0.35">
      <c r="A1711" s="401">
        <v>41530</v>
      </c>
      <c r="B1711" s="403">
        <v>881578605635214</v>
      </c>
    </row>
    <row r="1712" spans="1:2" ht="12.9" x14ac:dyDescent="0.35">
      <c r="A1712" s="401">
        <v>41531</v>
      </c>
      <c r="B1712" s="403">
        <v>942079098178807</v>
      </c>
    </row>
    <row r="1713" spans="1:2" ht="12.9" x14ac:dyDescent="0.35">
      <c r="A1713" s="401">
        <v>41532</v>
      </c>
      <c r="B1713" s="402">
        <v>1013381989514710</v>
      </c>
    </row>
    <row r="1714" spans="1:2" ht="12.9" x14ac:dyDescent="0.35">
      <c r="A1714" s="401">
        <v>41533</v>
      </c>
      <c r="B1714" s="402">
        <v>862214510415831</v>
      </c>
    </row>
    <row r="1715" spans="1:2" ht="12.9" x14ac:dyDescent="0.35">
      <c r="A1715" s="401">
        <v>41534</v>
      </c>
      <c r="B1715" s="402">
        <v>1002184398470340</v>
      </c>
    </row>
    <row r="1716" spans="1:2" ht="12.9" x14ac:dyDescent="0.35">
      <c r="A1716" s="401">
        <v>41535</v>
      </c>
      <c r="B1716" s="402">
        <v>923801261159819</v>
      </c>
    </row>
    <row r="1717" spans="1:2" ht="12.9" x14ac:dyDescent="0.35">
      <c r="A1717" s="401">
        <v>41536</v>
      </c>
      <c r="B1717" s="402">
        <v>1063771149214330</v>
      </c>
    </row>
    <row r="1718" spans="1:2" ht="12.9" x14ac:dyDescent="0.35">
      <c r="A1718" s="401">
        <v>41537</v>
      </c>
      <c r="B1718" s="402">
        <v>1119759104436140</v>
      </c>
    </row>
    <row r="1719" spans="1:2" ht="12.9" x14ac:dyDescent="0.35">
      <c r="A1719" s="401">
        <v>41538</v>
      </c>
      <c r="B1719" s="402">
        <v>1058172353692150</v>
      </c>
    </row>
    <row r="1720" spans="1:2" ht="12.9" x14ac:dyDescent="0.35">
      <c r="A1720" s="401">
        <v>41539</v>
      </c>
      <c r="B1720" s="402">
        <v>1136555491002680</v>
      </c>
    </row>
    <row r="1721" spans="1:2" ht="12.9" x14ac:dyDescent="0.35">
      <c r="A1721" s="401">
        <v>41540</v>
      </c>
      <c r="B1721" s="402">
        <v>1175747059657950</v>
      </c>
    </row>
    <row r="1722" spans="1:2" ht="12.9" x14ac:dyDescent="0.35">
      <c r="A1722" s="401">
        <v>41541</v>
      </c>
      <c r="B1722" s="403">
        <v>1186944650702310</v>
      </c>
    </row>
    <row r="1723" spans="1:2" ht="12.9" x14ac:dyDescent="0.35">
      <c r="A1723" s="401">
        <v>41542</v>
      </c>
      <c r="B1723" s="402">
        <v>1153351877569220</v>
      </c>
    </row>
    <row r="1724" spans="1:2" ht="12.9" x14ac:dyDescent="0.35">
      <c r="A1724" s="401">
        <v>41543</v>
      </c>
      <c r="B1724" s="402">
        <v>1198450492836300</v>
      </c>
    </row>
    <row r="1725" spans="1:2" ht="12.9" x14ac:dyDescent="0.35">
      <c r="A1725" s="401">
        <v>41544</v>
      </c>
      <c r="B1725" s="403">
        <v>1316815973610260</v>
      </c>
    </row>
    <row r="1726" spans="1:2" ht="12.9" x14ac:dyDescent="0.35">
      <c r="A1726" s="401">
        <v>41545</v>
      </c>
      <c r="B1726" s="402">
        <v>1309418131061890</v>
      </c>
    </row>
    <row r="1727" spans="1:2" ht="12.9" x14ac:dyDescent="0.35">
      <c r="A1727" s="401">
        <v>41546</v>
      </c>
      <c r="B1727" s="402">
        <v>1257633233223280</v>
      </c>
    </row>
    <row r="1728" spans="1:2" ht="12.9" x14ac:dyDescent="0.35">
      <c r="A1728" s="401">
        <v>41547</v>
      </c>
      <c r="B1728" s="403">
        <v>1205848335384680</v>
      </c>
    </row>
    <row r="1729" spans="1:2" ht="12.9" x14ac:dyDescent="0.35">
      <c r="A1729" s="401">
        <v>41548</v>
      </c>
      <c r="B1729" s="402">
        <v>1383396556545610</v>
      </c>
    </row>
    <row r="1730" spans="1:2" ht="12.9" x14ac:dyDescent="0.35">
      <c r="A1730" s="401">
        <v>41549</v>
      </c>
      <c r="B1730" s="402">
        <v>1412987926739100</v>
      </c>
    </row>
    <row r="1731" spans="1:2" ht="12.9" x14ac:dyDescent="0.35">
      <c r="A1731" s="401">
        <v>41550</v>
      </c>
      <c r="B1731" s="402">
        <v>1472170667126080</v>
      </c>
    </row>
    <row r="1732" spans="1:2" ht="12.9" x14ac:dyDescent="0.35">
      <c r="A1732" s="401">
        <v>41551</v>
      </c>
      <c r="B1732" s="402">
        <v>1331611658707000</v>
      </c>
    </row>
    <row r="1733" spans="1:2" ht="12.9" x14ac:dyDescent="0.35">
      <c r="A1733" s="401">
        <v>41552</v>
      </c>
      <c r="B1733" s="402">
        <v>1620127518093520</v>
      </c>
    </row>
    <row r="1734" spans="1:2" ht="12.9" x14ac:dyDescent="0.35">
      <c r="A1734" s="401">
        <v>41553</v>
      </c>
      <c r="B1734" s="403">
        <v>1368600871448870</v>
      </c>
    </row>
    <row r="1735" spans="1:2" ht="12.9" x14ac:dyDescent="0.35">
      <c r="A1735" s="401">
        <v>41554</v>
      </c>
      <c r="B1735" s="402">
        <v>1467838622264290</v>
      </c>
    </row>
    <row r="1736" spans="1:2" ht="12.9" x14ac:dyDescent="0.35">
      <c r="A1736" s="401">
        <v>41555</v>
      </c>
      <c r="B1736" s="403">
        <v>1524293953889840</v>
      </c>
    </row>
    <row r="1737" spans="1:2" ht="12.9" x14ac:dyDescent="0.35">
      <c r="A1737" s="401">
        <v>41556</v>
      </c>
      <c r="B1737" s="402">
        <v>1674841504891310</v>
      </c>
    </row>
    <row r="1738" spans="1:2" ht="12.9" x14ac:dyDescent="0.35">
      <c r="A1738" s="401">
        <v>41557</v>
      </c>
      <c r="B1738" s="402">
        <v>1806570612017590</v>
      </c>
    </row>
    <row r="1739" spans="1:2" ht="12.9" x14ac:dyDescent="0.35">
      <c r="A1739" s="401">
        <v>41558</v>
      </c>
      <c r="B1739" s="403">
        <v>1740706058454450</v>
      </c>
    </row>
    <row r="1740" spans="1:2" ht="12.9" x14ac:dyDescent="0.35">
      <c r="A1740" s="401">
        <v>41559</v>
      </c>
      <c r="B1740" s="403">
        <v>2013573494644610</v>
      </c>
    </row>
    <row r="1741" spans="1:2" ht="12.9" x14ac:dyDescent="0.35">
      <c r="A1741" s="401">
        <v>41560</v>
      </c>
      <c r="B1741" s="402">
        <v>2079438048207750</v>
      </c>
    </row>
    <row r="1742" spans="1:2" ht="12.9" x14ac:dyDescent="0.35">
      <c r="A1742" s="401">
        <v>41561</v>
      </c>
      <c r="B1742" s="403">
        <v>2352305484397910</v>
      </c>
    </row>
    <row r="1743" spans="1:2" ht="12.9" x14ac:dyDescent="0.35">
      <c r="A1743" s="401">
        <v>41562</v>
      </c>
      <c r="B1743" s="402">
        <v>2446397703773820</v>
      </c>
    </row>
    <row r="1744" spans="1:2" ht="12.9" x14ac:dyDescent="0.35">
      <c r="A1744" s="401">
        <v>41563</v>
      </c>
      <c r="B1744" s="402">
        <v>1975936606894240</v>
      </c>
    </row>
    <row r="1745" spans="1:2" ht="12.9" x14ac:dyDescent="0.35">
      <c r="A1745" s="401">
        <v>41564</v>
      </c>
      <c r="B1745" s="403">
        <v>2222601764204650</v>
      </c>
    </row>
    <row r="1746" spans="1:2" ht="12.9" x14ac:dyDescent="0.35">
      <c r="A1746" s="401">
        <v>41565</v>
      </c>
      <c r="B1746" s="402">
        <v>2555326579205340</v>
      </c>
    </row>
    <row r="1747" spans="1:2" ht="12.9" x14ac:dyDescent="0.35">
      <c r="A1747" s="401">
        <v>41566</v>
      </c>
      <c r="B1747" s="403">
        <v>2967905349806210</v>
      </c>
    </row>
    <row r="1748" spans="1:2" ht="12.9" x14ac:dyDescent="0.35">
      <c r="A1748" s="401">
        <v>41567</v>
      </c>
      <c r="B1748" s="402">
        <v>2648489527405540</v>
      </c>
    </row>
    <row r="1749" spans="1:2" ht="12.9" x14ac:dyDescent="0.35">
      <c r="A1749" s="401">
        <v>41568</v>
      </c>
      <c r="B1749" s="403">
        <v>2808197438605870</v>
      </c>
    </row>
    <row r="1750" spans="1:2" ht="12.9" x14ac:dyDescent="0.35">
      <c r="A1750" s="401">
        <v>41569</v>
      </c>
      <c r="B1750" s="403">
        <v>3260703187006820</v>
      </c>
    </row>
    <row r="1751" spans="1:2" ht="12.9" x14ac:dyDescent="0.35">
      <c r="A1751" s="401">
        <v>41570</v>
      </c>
      <c r="B1751" s="403">
        <v>2941287364606150</v>
      </c>
    </row>
    <row r="1752" spans="1:2" ht="12.9" x14ac:dyDescent="0.35">
      <c r="A1752" s="401">
        <v>41571</v>
      </c>
      <c r="B1752" s="402">
        <v>2861433409005980</v>
      </c>
    </row>
    <row r="1753" spans="1:2" ht="12.9" x14ac:dyDescent="0.35">
      <c r="A1753" s="401">
        <v>41572</v>
      </c>
      <c r="B1753" s="402">
        <v>3127613261006540</v>
      </c>
    </row>
    <row r="1754" spans="1:2" ht="12.9" x14ac:dyDescent="0.35">
      <c r="A1754" s="401">
        <v>41573</v>
      </c>
      <c r="B1754" s="403">
        <v>3536837929983390</v>
      </c>
    </row>
    <row r="1755" spans="1:2" ht="12.9" x14ac:dyDescent="0.35">
      <c r="A1755" s="401">
        <v>41574</v>
      </c>
      <c r="B1755" s="403">
        <v>3478538403664980</v>
      </c>
    </row>
    <row r="1756" spans="1:2" ht="12.9" x14ac:dyDescent="0.35">
      <c r="A1756" s="401">
        <v>41575</v>
      </c>
      <c r="B1756" s="402">
        <v>3400805701907110</v>
      </c>
    </row>
    <row r="1757" spans="1:2" ht="12.9" x14ac:dyDescent="0.35">
      <c r="A1757" s="401">
        <v>41576</v>
      </c>
      <c r="B1757" s="402">
        <v>3109308070315070</v>
      </c>
    </row>
    <row r="1758" spans="1:2" ht="12.9" x14ac:dyDescent="0.35">
      <c r="A1758" s="401">
        <v>41577</v>
      </c>
      <c r="B1758" s="402">
        <v>3789469210696490</v>
      </c>
    </row>
    <row r="1759" spans="1:2" ht="12.9" x14ac:dyDescent="0.35">
      <c r="A1759" s="401">
        <v>41578</v>
      </c>
      <c r="B1759" s="403">
        <v>4100400017728000</v>
      </c>
    </row>
    <row r="1760" spans="1:2" ht="12.9" x14ac:dyDescent="0.35">
      <c r="A1760" s="401">
        <v>41579</v>
      </c>
      <c r="B1760" s="402">
        <v>4042100491409590</v>
      </c>
    </row>
    <row r="1761" spans="1:2" ht="12.9" x14ac:dyDescent="0.35">
      <c r="A1761" s="401">
        <v>41580</v>
      </c>
      <c r="B1761" s="403">
        <v>3925501438772770</v>
      </c>
    </row>
    <row r="1762" spans="1:2" ht="12.9" x14ac:dyDescent="0.35">
      <c r="A1762" s="401">
        <v>41581</v>
      </c>
      <c r="B1762" s="403">
        <v>3731169684378080</v>
      </c>
    </row>
    <row r="1763" spans="1:2" ht="12.9" x14ac:dyDescent="0.35">
      <c r="A1763" s="401">
        <v>41582</v>
      </c>
      <c r="B1763" s="402">
        <v>3789469210696490</v>
      </c>
    </row>
    <row r="1764" spans="1:2" ht="12.9" x14ac:dyDescent="0.35">
      <c r="A1764" s="401">
        <v>41583</v>
      </c>
      <c r="B1764" s="403">
        <v>3381372526467640</v>
      </c>
    </row>
    <row r="1765" spans="1:2" ht="12.9" x14ac:dyDescent="0.35">
      <c r="A1765" s="401">
        <v>41584</v>
      </c>
      <c r="B1765" s="402">
        <v>4139948171287130</v>
      </c>
    </row>
    <row r="1766" spans="1:2" ht="12.9" x14ac:dyDescent="0.35">
      <c r="A1766" s="401">
        <v>41585</v>
      </c>
      <c r="B1766" s="402">
        <v>3657377525554270</v>
      </c>
    </row>
    <row r="1767" spans="1:2" ht="12.9" x14ac:dyDescent="0.35">
      <c r="A1767" s="401">
        <v>41586</v>
      </c>
      <c r="B1767" s="403">
        <v>3403392975168560</v>
      </c>
    </row>
    <row r="1768" spans="1:2" ht="12.9" x14ac:dyDescent="0.35">
      <c r="A1768" s="401">
        <v>41587</v>
      </c>
      <c r="B1768" s="402">
        <v>3758971345708560</v>
      </c>
    </row>
    <row r="1769" spans="1:2" ht="12.9" x14ac:dyDescent="0.35">
      <c r="A1769" s="401">
        <v>41588</v>
      </c>
      <c r="B1769" s="402">
        <v>4343135811595700</v>
      </c>
    </row>
    <row r="1770" spans="1:2" ht="12.9" x14ac:dyDescent="0.35">
      <c r="A1770" s="401">
        <v>41589</v>
      </c>
      <c r="B1770" s="403">
        <v>4749511092212840</v>
      </c>
    </row>
    <row r="1771" spans="1:2" ht="12.9" x14ac:dyDescent="0.35">
      <c r="A1771" s="401">
        <v>41590</v>
      </c>
      <c r="B1771" s="403">
        <v>5105089462752840</v>
      </c>
    </row>
    <row r="1772" spans="1:2" ht="12.9" x14ac:dyDescent="0.35">
      <c r="A1772" s="401">
        <v>41591</v>
      </c>
      <c r="B1772" s="402">
        <v>4266940446479990</v>
      </c>
    </row>
    <row r="1773" spans="1:2" ht="12.9" x14ac:dyDescent="0.35">
      <c r="A1773" s="401">
        <v>41592</v>
      </c>
      <c r="B1773" s="403">
        <v>4647917272058560</v>
      </c>
    </row>
    <row r="1774" spans="1:2" ht="12.9" x14ac:dyDescent="0.35">
      <c r="A1774" s="401">
        <v>41593</v>
      </c>
      <c r="B1774" s="402">
        <v>4216143536402850</v>
      </c>
    </row>
    <row r="1775" spans="1:2" ht="12.9" x14ac:dyDescent="0.35">
      <c r="A1775" s="401">
        <v>41594</v>
      </c>
      <c r="B1775" s="403">
        <v>4927300277482840</v>
      </c>
    </row>
    <row r="1776" spans="1:2" ht="12.9" x14ac:dyDescent="0.35">
      <c r="A1776" s="401">
        <v>41595</v>
      </c>
      <c r="B1776" s="403">
        <v>4724112637174270</v>
      </c>
    </row>
    <row r="1777" spans="1:2" ht="12.9" x14ac:dyDescent="0.35">
      <c r="A1777" s="401">
        <v>41596</v>
      </c>
      <c r="B1777" s="403">
        <v>4726417542884180</v>
      </c>
    </row>
    <row r="1778" spans="1:2" ht="12.9" x14ac:dyDescent="0.35">
      <c r="A1778" s="401">
        <v>41597</v>
      </c>
      <c r="B1778" s="403">
        <v>4877905284643290</v>
      </c>
    </row>
    <row r="1779" spans="1:2" ht="12.9" x14ac:dyDescent="0.35">
      <c r="A1779" s="401">
        <v>41598</v>
      </c>
      <c r="B1779" s="403">
        <v>4968797929698760</v>
      </c>
    </row>
    <row r="1780" spans="1:2" ht="12.9" x14ac:dyDescent="0.35">
      <c r="A1780" s="401">
        <v>41599</v>
      </c>
      <c r="B1780" s="403">
        <v>4544632252773250</v>
      </c>
    </row>
    <row r="1781" spans="1:2" ht="12.9" x14ac:dyDescent="0.35">
      <c r="A1781" s="401">
        <v>41600</v>
      </c>
      <c r="B1781" s="403">
        <v>5211178316513330</v>
      </c>
    </row>
    <row r="1782" spans="1:2" ht="12.9" x14ac:dyDescent="0.35">
      <c r="A1782" s="401">
        <v>41601</v>
      </c>
      <c r="B1782" s="403">
        <v>5150583219809690</v>
      </c>
    </row>
    <row r="1783" spans="1:2" ht="12.9" x14ac:dyDescent="0.35">
      <c r="A1783" s="401">
        <v>41602</v>
      </c>
      <c r="B1783" s="403">
        <v>5089988123106040</v>
      </c>
    </row>
    <row r="1784" spans="1:2" ht="12.9" x14ac:dyDescent="0.35">
      <c r="A1784" s="401">
        <v>41603</v>
      </c>
      <c r="B1784" s="403">
        <v>5241475864865150</v>
      </c>
    </row>
    <row r="1785" spans="1:2" ht="12.9" x14ac:dyDescent="0.35">
      <c r="A1785" s="401">
        <v>41604</v>
      </c>
      <c r="B1785" s="403">
        <v>4817310187939650</v>
      </c>
    </row>
    <row r="1786" spans="1:2" ht="12.9" x14ac:dyDescent="0.35">
      <c r="A1786" s="401">
        <v>41605</v>
      </c>
      <c r="B1786" s="403">
        <v>5241475864865150</v>
      </c>
    </row>
    <row r="1787" spans="1:2" ht="12.9" x14ac:dyDescent="0.35">
      <c r="A1787" s="401">
        <v>41606</v>
      </c>
      <c r="B1787" s="403">
        <v>5483856251679730</v>
      </c>
    </row>
    <row r="1788" spans="1:2" ht="12.9" x14ac:dyDescent="0.35">
      <c r="A1788" s="401">
        <v>41607</v>
      </c>
      <c r="B1788" s="403">
        <v>5241475864865150</v>
      </c>
    </row>
    <row r="1789" spans="1:2" ht="12.9" x14ac:dyDescent="0.35">
      <c r="A1789" s="401">
        <v>41608</v>
      </c>
      <c r="B1789" s="403">
        <v>6189120342010940</v>
      </c>
    </row>
    <row r="1790" spans="1:2" ht="12.9" x14ac:dyDescent="0.35">
      <c r="A1790" s="401">
        <v>41609</v>
      </c>
      <c r="B1790" s="403">
        <v>6857264015296220</v>
      </c>
    </row>
    <row r="1791" spans="1:2" ht="12.9" x14ac:dyDescent="0.35">
      <c r="A1791" s="401">
        <v>41610</v>
      </c>
      <c r="B1791" s="403">
        <v>5591307581703070</v>
      </c>
    </row>
    <row r="1792" spans="1:2" ht="12.9" x14ac:dyDescent="0.35">
      <c r="A1792" s="401">
        <v>41611</v>
      </c>
      <c r="B1792" s="403">
        <v>7033091297739710</v>
      </c>
    </row>
    <row r="1793" spans="1:2" ht="12.9" x14ac:dyDescent="0.35">
      <c r="A1793" s="401">
        <v>41612</v>
      </c>
      <c r="B1793" s="403">
        <v>6013293059567450</v>
      </c>
    </row>
    <row r="1794" spans="1:2" ht="12.9" x14ac:dyDescent="0.35">
      <c r="A1794" s="401">
        <v>41613</v>
      </c>
      <c r="B1794" s="403">
        <v>5978127603078750</v>
      </c>
    </row>
    <row r="1795" spans="1:2" ht="12.9" x14ac:dyDescent="0.35">
      <c r="A1795" s="401">
        <v>41614</v>
      </c>
      <c r="B1795" s="403">
        <v>7314414949649300</v>
      </c>
    </row>
    <row r="1796" spans="1:2" ht="12.9" x14ac:dyDescent="0.35">
      <c r="A1796" s="401">
        <v>41615</v>
      </c>
      <c r="B1796" s="403">
        <v>6857264015296220</v>
      </c>
    </row>
    <row r="1797" spans="1:2" ht="12.9" x14ac:dyDescent="0.35">
      <c r="A1797" s="401">
        <v>41616</v>
      </c>
      <c r="B1797" s="403">
        <v>6857264015296220</v>
      </c>
    </row>
    <row r="1798" spans="1:2" ht="12.9" x14ac:dyDescent="0.35">
      <c r="A1798" s="401">
        <v>41617</v>
      </c>
      <c r="B1798" s="403">
        <v>6189120342010940</v>
      </c>
    </row>
    <row r="1799" spans="1:2" ht="12.9" x14ac:dyDescent="0.35">
      <c r="A1799" s="401">
        <v>41618</v>
      </c>
      <c r="B1799" s="403">
        <v>6751767645830120</v>
      </c>
    </row>
    <row r="1800" spans="1:2" ht="12.9" x14ac:dyDescent="0.35">
      <c r="A1800" s="401">
        <v>41619</v>
      </c>
      <c r="B1800" s="403">
        <v>7450470437858230</v>
      </c>
    </row>
    <row r="1801" spans="1:2" ht="12.9" x14ac:dyDescent="0.35">
      <c r="A1801" s="401">
        <v>41620</v>
      </c>
      <c r="B1801" s="403">
        <v>7360161705278130</v>
      </c>
    </row>
    <row r="1802" spans="1:2" ht="12.9" x14ac:dyDescent="0.35">
      <c r="A1802" s="401">
        <v>41621</v>
      </c>
      <c r="B1802" s="403">
        <v>7856859734468680</v>
      </c>
    </row>
    <row r="1803" spans="1:2" ht="12.9" x14ac:dyDescent="0.35">
      <c r="A1803" s="401">
        <v>41622</v>
      </c>
      <c r="B1803" s="403">
        <v>8940564525429870</v>
      </c>
    </row>
    <row r="1804" spans="1:2" ht="12.9" x14ac:dyDescent="0.35">
      <c r="A1804" s="401">
        <v>41623</v>
      </c>
      <c r="B1804" s="403">
        <v>7992322833338820</v>
      </c>
    </row>
    <row r="1805" spans="1:2" ht="12.9" x14ac:dyDescent="0.35">
      <c r="A1805" s="401">
        <v>41624</v>
      </c>
      <c r="B1805" s="403">
        <v>9076027624300020</v>
      </c>
    </row>
    <row r="1806" spans="1:2" ht="12.9" x14ac:dyDescent="0.35">
      <c r="A1806" s="401">
        <v>41625</v>
      </c>
      <c r="B1806" s="403">
        <v>9166336356880120</v>
      </c>
    </row>
    <row r="1807" spans="1:2" ht="12.9" x14ac:dyDescent="0.35">
      <c r="A1807" s="401">
        <v>41626</v>
      </c>
      <c r="B1807" s="403">
        <v>8985718891719920</v>
      </c>
    </row>
    <row r="1808" spans="1:2" ht="12.9" x14ac:dyDescent="0.35">
      <c r="A1808" s="401">
        <v>41627</v>
      </c>
      <c r="B1808" s="403">
        <v>1.02048867815512E+16</v>
      </c>
    </row>
    <row r="1809" spans="1:2" ht="12.9" x14ac:dyDescent="0.35">
      <c r="A1809" s="401">
        <v>41628</v>
      </c>
      <c r="B1809" s="403">
        <v>8037477199628880</v>
      </c>
    </row>
    <row r="1810" spans="1:2" ht="12.9" x14ac:dyDescent="0.35">
      <c r="A1810" s="401">
        <v>41629</v>
      </c>
      <c r="B1810" s="403">
        <v>9451345682153590</v>
      </c>
    </row>
    <row r="1811" spans="1:2" ht="12.9" x14ac:dyDescent="0.35">
      <c r="A1811" s="401">
        <v>41630</v>
      </c>
      <c r="B1811" s="403">
        <v>9920977765738860</v>
      </c>
    </row>
    <row r="1812" spans="1:2" ht="12.9" x14ac:dyDescent="0.35">
      <c r="A1812" s="401">
        <v>41631</v>
      </c>
      <c r="B1812" s="403">
        <v>1.00383857866351E+16</v>
      </c>
    </row>
    <row r="1813" spans="1:2" ht="12.9" x14ac:dyDescent="0.35">
      <c r="A1813" s="401">
        <v>41632</v>
      </c>
      <c r="B1813" s="403">
        <v>9920977765738860</v>
      </c>
    </row>
    <row r="1814" spans="1:2" ht="12.9" x14ac:dyDescent="0.35">
      <c r="A1814" s="401">
        <v>41633</v>
      </c>
      <c r="B1814" s="403">
        <v>9510049692601740</v>
      </c>
    </row>
    <row r="1815" spans="1:2" ht="12.9" x14ac:dyDescent="0.35">
      <c r="A1815" s="401">
        <v>41634</v>
      </c>
      <c r="B1815" s="403">
        <v>1.05667218806686E+16</v>
      </c>
    </row>
    <row r="1816" spans="1:2" ht="12.9" x14ac:dyDescent="0.35">
      <c r="A1816" s="401">
        <v>41635</v>
      </c>
      <c r="B1816" s="403">
        <v>1.08015379224612E+16</v>
      </c>
    </row>
    <row r="1817" spans="1:2" ht="12.9" x14ac:dyDescent="0.35">
      <c r="A1817" s="401">
        <v>41636</v>
      </c>
      <c r="B1817" s="403">
        <v>8805601567223840</v>
      </c>
    </row>
    <row r="1818" spans="1:2" ht="12.9" x14ac:dyDescent="0.35">
      <c r="A1818" s="401">
        <v>41637</v>
      </c>
      <c r="B1818" s="403">
        <v>9862273755290700</v>
      </c>
    </row>
    <row r="1819" spans="1:2" ht="12.9" x14ac:dyDescent="0.35">
      <c r="A1819" s="401">
        <v>41638</v>
      </c>
      <c r="B1819" s="403">
        <v>1.01557938075314E+16</v>
      </c>
    </row>
    <row r="1820" spans="1:2" ht="12.9" x14ac:dyDescent="0.35">
      <c r="A1820" s="401">
        <v>41639</v>
      </c>
      <c r="B1820" s="403">
        <v>1.08015379224612E+16</v>
      </c>
    </row>
    <row r="1821" spans="1:2" ht="12.9" x14ac:dyDescent="0.35">
      <c r="A1821" s="401">
        <v>41640</v>
      </c>
      <c r="B1821" s="403">
        <v>1.20343221418725E+16</v>
      </c>
    </row>
    <row r="1822" spans="1:2" ht="12.9" x14ac:dyDescent="0.35">
      <c r="A1822" s="401">
        <v>41641</v>
      </c>
      <c r="B1822" s="403">
        <v>9448754411500350</v>
      </c>
    </row>
    <row r="1823" spans="1:2" ht="12.9" x14ac:dyDescent="0.35">
      <c r="A1823" s="401">
        <v>41642</v>
      </c>
      <c r="B1823" s="403">
        <v>1.1352607912325E+16</v>
      </c>
    </row>
    <row r="1824" spans="1:2" ht="12.9" x14ac:dyDescent="0.35">
      <c r="A1824" s="401">
        <v>41643</v>
      </c>
      <c r="B1824" s="403">
        <v>9942346059862310</v>
      </c>
    </row>
    <row r="1825" spans="1:2" ht="12.9" x14ac:dyDescent="0.35">
      <c r="A1825" s="401">
        <v>41644</v>
      </c>
      <c r="B1825" s="403">
        <v>1.36090268762654E+16</v>
      </c>
    </row>
    <row r="1826" spans="1:2" ht="12.9" x14ac:dyDescent="0.35">
      <c r="A1826" s="401">
        <v>41645</v>
      </c>
      <c r="B1826" s="403">
        <v>1.31154352279034E+16</v>
      </c>
    </row>
    <row r="1827" spans="1:2" ht="12.9" x14ac:dyDescent="0.35">
      <c r="A1827" s="401">
        <v>41646</v>
      </c>
      <c r="B1827" s="403">
        <v>1.24808173942952E+16</v>
      </c>
    </row>
    <row r="1828" spans="1:2" ht="12.9" x14ac:dyDescent="0.35">
      <c r="A1828" s="401">
        <v>41647</v>
      </c>
      <c r="B1828" s="403">
        <v>1.36090268762654E+16</v>
      </c>
    </row>
    <row r="1829" spans="1:2" ht="12.9" x14ac:dyDescent="0.35">
      <c r="A1829" s="401">
        <v>41648</v>
      </c>
      <c r="B1829" s="403">
        <v>1.45962101729893E+16</v>
      </c>
    </row>
    <row r="1830" spans="1:2" ht="12.9" x14ac:dyDescent="0.35">
      <c r="A1830" s="401">
        <v>41649</v>
      </c>
      <c r="B1830" s="403">
        <v>1.31859483205266E+16</v>
      </c>
    </row>
    <row r="1831" spans="1:2" ht="12.9" x14ac:dyDescent="0.35">
      <c r="A1831" s="401">
        <v>41650</v>
      </c>
      <c r="B1831" s="403">
        <v>1.48077494508587E+16</v>
      </c>
    </row>
    <row r="1832" spans="1:2" ht="12.9" x14ac:dyDescent="0.35">
      <c r="A1832" s="401">
        <v>41651</v>
      </c>
      <c r="B1832" s="403">
        <v>1.45962101729893E+16</v>
      </c>
    </row>
    <row r="1833" spans="1:2" ht="12.9" x14ac:dyDescent="0.35">
      <c r="A1833" s="401">
        <v>41652</v>
      </c>
      <c r="B1833" s="403">
        <v>1.50340475853417E+16</v>
      </c>
    </row>
    <row r="1834" spans="1:2" ht="12.9" x14ac:dyDescent="0.35">
      <c r="A1834" s="401">
        <v>41653</v>
      </c>
      <c r="B1834" s="403">
        <v>1.44113355551796E+16</v>
      </c>
    </row>
    <row r="1835" spans="1:2" ht="12.9" x14ac:dyDescent="0.35">
      <c r="A1835" s="401">
        <v>41654</v>
      </c>
      <c r="B1835" s="403">
        <v>1.63684305071176E+16</v>
      </c>
    </row>
    <row r="1836" spans="1:2" ht="12.9" x14ac:dyDescent="0.35">
      <c r="A1836" s="401">
        <v>41655</v>
      </c>
      <c r="B1836" s="403">
        <v>1.64573893685693E+16</v>
      </c>
    </row>
    <row r="1837" spans="1:2" ht="12.9" x14ac:dyDescent="0.35">
      <c r="A1837" s="401">
        <v>41656</v>
      </c>
      <c r="B1837" s="403">
        <v>1.35217469406623E+16</v>
      </c>
    </row>
    <row r="1838" spans="1:2" ht="12.9" x14ac:dyDescent="0.35">
      <c r="A1838" s="401">
        <v>41657</v>
      </c>
      <c r="B1838" s="403">
        <v>1.54788418926003E+16</v>
      </c>
    </row>
    <row r="1839" spans="1:2" ht="12.9" x14ac:dyDescent="0.35">
      <c r="A1839" s="401">
        <v>41658</v>
      </c>
      <c r="B1839" s="403">
        <v>1.50340475853417E+16</v>
      </c>
    </row>
    <row r="1840" spans="1:2" ht="12.9" x14ac:dyDescent="0.35">
      <c r="A1840" s="401">
        <v>41659</v>
      </c>
      <c r="B1840" s="403">
        <v>1.73469779830866E+16</v>
      </c>
    </row>
    <row r="1841" spans="1:2" ht="12.9" x14ac:dyDescent="0.35">
      <c r="A1841" s="401">
        <v>41660</v>
      </c>
      <c r="B1841" s="403">
        <v>1.47671710009865E+16</v>
      </c>
    </row>
    <row r="1842" spans="1:2" ht="12.9" x14ac:dyDescent="0.35">
      <c r="A1842" s="401">
        <v>41661</v>
      </c>
      <c r="B1842" s="403">
        <v>1.70801013987314E+16</v>
      </c>
    </row>
    <row r="1843" spans="1:2" ht="12.9" x14ac:dyDescent="0.35">
      <c r="A1843" s="401">
        <v>41662</v>
      </c>
      <c r="B1843" s="403">
        <v>1.57457184769555E+16</v>
      </c>
    </row>
    <row r="1844" spans="1:2" ht="12.9" x14ac:dyDescent="0.35">
      <c r="A1844" s="401">
        <v>41663</v>
      </c>
      <c r="B1844" s="403">
        <v>1.68132248143762E+16</v>
      </c>
    </row>
    <row r="1845" spans="1:2" ht="12.9" x14ac:dyDescent="0.35">
      <c r="A1845" s="401">
        <v>41664</v>
      </c>
      <c r="B1845" s="403">
        <v>1.79943669102018E+16</v>
      </c>
    </row>
    <row r="1846" spans="1:2" ht="12.9" x14ac:dyDescent="0.35">
      <c r="A1846" s="401">
        <v>41665</v>
      </c>
      <c r="B1846" s="403">
        <v>1.65766289112162E+16</v>
      </c>
    </row>
    <row r="1847" spans="1:2" ht="12.9" x14ac:dyDescent="0.35">
      <c r="A1847" s="401">
        <v>41666</v>
      </c>
      <c r="B1847" s="403">
        <v>1.89758778325764E+16</v>
      </c>
    </row>
    <row r="1848" spans="1:2" ht="12.9" x14ac:dyDescent="0.35">
      <c r="A1848" s="401">
        <v>41667</v>
      </c>
      <c r="B1848" s="403">
        <v>1.67947424495216E+16</v>
      </c>
    </row>
    <row r="1849" spans="1:2" ht="12.9" x14ac:dyDescent="0.35">
      <c r="A1849" s="401">
        <v>41668</v>
      </c>
      <c r="B1849" s="403">
        <v>1.65766289112162E+16</v>
      </c>
    </row>
    <row r="1850" spans="1:2" ht="12.9" x14ac:dyDescent="0.35">
      <c r="A1850" s="401">
        <v>41669</v>
      </c>
      <c r="B1850" s="403">
        <v>1.91939913708819E+16</v>
      </c>
    </row>
    <row r="1851" spans="1:2" ht="12.9" x14ac:dyDescent="0.35">
      <c r="A1851" s="401">
        <v>41670</v>
      </c>
      <c r="B1851" s="403">
        <v>2.00664455241038E+16</v>
      </c>
    </row>
    <row r="1852" spans="1:2" ht="12.9" x14ac:dyDescent="0.35">
      <c r="A1852" s="401">
        <v>41671</v>
      </c>
      <c r="B1852" s="403">
        <v>2.06117293698675E+16</v>
      </c>
    </row>
    <row r="1853" spans="1:2" ht="12.9" x14ac:dyDescent="0.35">
      <c r="A1853" s="401">
        <v>41672</v>
      </c>
      <c r="B1853" s="403">
        <v>2.02845590624093E+16</v>
      </c>
    </row>
    <row r="1854" spans="1:2" ht="12.9" x14ac:dyDescent="0.35">
      <c r="A1854" s="401">
        <v>41673</v>
      </c>
      <c r="B1854" s="403">
        <v>1.97392752166456E+16</v>
      </c>
    </row>
    <row r="1855" spans="1:2" ht="12.9" x14ac:dyDescent="0.35">
      <c r="A1855" s="401">
        <v>41674</v>
      </c>
      <c r="B1855" s="403">
        <v>1.87577642942709E+16</v>
      </c>
    </row>
    <row r="1856" spans="1:2" ht="12.9" x14ac:dyDescent="0.35">
      <c r="A1856" s="401">
        <v>41675</v>
      </c>
      <c r="B1856" s="403">
        <v>2.1892201324589E+16</v>
      </c>
    </row>
    <row r="1857" spans="1:2" ht="12.9" x14ac:dyDescent="0.35">
      <c r="A1857" s="401">
        <v>41676</v>
      </c>
      <c r="B1857" s="403">
        <v>2.37165514349714E+16</v>
      </c>
    </row>
    <row r="1858" spans="1:2" ht="12.9" x14ac:dyDescent="0.35">
      <c r="A1858" s="401">
        <v>41677</v>
      </c>
      <c r="B1858" s="403">
        <v>2.01981619363768E+16</v>
      </c>
    </row>
    <row r="1859" spans="1:2" ht="12.9" x14ac:dyDescent="0.35">
      <c r="A1859" s="401">
        <v>41678</v>
      </c>
      <c r="B1859" s="403">
        <v>2.37165514349714E+16</v>
      </c>
    </row>
    <row r="1860" spans="1:2" ht="12.9" x14ac:dyDescent="0.35">
      <c r="A1860" s="401">
        <v>41679</v>
      </c>
      <c r="B1860" s="403">
        <v>1.79828796594838E+16</v>
      </c>
    </row>
    <row r="1861" spans="1:2" ht="12.9" x14ac:dyDescent="0.35">
      <c r="A1861" s="401">
        <v>41680</v>
      </c>
      <c r="B1861" s="403">
        <v>2.03284726585469E+16</v>
      </c>
    </row>
    <row r="1862" spans="1:2" ht="12.9" x14ac:dyDescent="0.35">
      <c r="A1862" s="401">
        <v>41681</v>
      </c>
      <c r="B1862" s="403">
        <v>2.13709584359083E+16</v>
      </c>
    </row>
    <row r="1863" spans="1:2" ht="12.9" x14ac:dyDescent="0.35">
      <c r="A1863" s="401">
        <v>41682</v>
      </c>
      <c r="B1863" s="403">
        <v>2.31953085462907E+16</v>
      </c>
    </row>
    <row r="1864" spans="1:2" ht="12.9" x14ac:dyDescent="0.35">
      <c r="A1864" s="401">
        <v>41683</v>
      </c>
      <c r="B1864" s="403">
        <v>2.31953085462907E+16</v>
      </c>
    </row>
    <row r="1865" spans="1:2" ht="12.9" x14ac:dyDescent="0.35">
      <c r="A1865" s="401">
        <v>41684</v>
      </c>
      <c r="B1865" s="403">
        <v>2.4889347934503E+16</v>
      </c>
    </row>
    <row r="1866" spans="1:2" ht="12.9" x14ac:dyDescent="0.35">
      <c r="A1866" s="401">
        <v>41685</v>
      </c>
      <c r="B1866" s="403">
        <v>2.43681050458223E+16</v>
      </c>
    </row>
    <row r="1867" spans="1:2" ht="12.9" x14ac:dyDescent="0.35">
      <c r="A1867" s="401">
        <v>41686</v>
      </c>
      <c r="B1867" s="403">
        <v>2.54105908231837E+16</v>
      </c>
    </row>
    <row r="1868" spans="1:2" ht="12.9" x14ac:dyDescent="0.35">
      <c r="A1868" s="401">
        <v>41687</v>
      </c>
      <c r="B1868" s="403">
        <v>2.41136485813274E+16</v>
      </c>
    </row>
    <row r="1869" spans="1:2" ht="12.9" x14ac:dyDescent="0.35">
      <c r="A1869" s="401">
        <v>41688</v>
      </c>
      <c r="B1869" s="403">
        <v>2.53582239919765E+16</v>
      </c>
    </row>
    <row r="1870" spans="1:2" ht="12.9" x14ac:dyDescent="0.35">
      <c r="A1870" s="401">
        <v>41689</v>
      </c>
      <c r="B1870" s="403">
        <v>3.11143852662289E+16</v>
      </c>
    </row>
    <row r="1871" spans="1:2" ht="12.9" x14ac:dyDescent="0.35">
      <c r="A1871" s="401">
        <v>41690</v>
      </c>
      <c r="B1871" s="403">
        <v>2.75362309606125E+16</v>
      </c>
    </row>
    <row r="1872" spans="1:2" ht="12.9" x14ac:dyDescent="0.35">
      <c r="A1872" s="401">
        <v>41691</v>
      </c>
      <c r="B1872" s="403">
        <v>2.36469328023339E+16</v>
      </c>
    </row>
    <row r="1873" spans="1:2" ht="12.9" x14ac:dyDescent="0.35">
      <c r="A1873" s="401">
        <v>41692</v>
      </c>
      <c r="B1873" s="403">
        <v>2.8002946739606E+16</v>
      </c>
    </row>
    <row r="1874" spans="1:2" ht="12.9" x14ac:dyDescent="0.35">
      <c r="A1874" s="401">
        <v>41693</v>
      </c>
      <c r="B1874" s="403">
        <v>2.61360836236322E+16</v>
      </c>
    </row>
    <row r="1875" spans="1:2" ht="12.9" x14ac:dyDescent="0.35">
      <c r="A1875" s="401">
        <v>41694</v>
      </c>
      <c r="B1875" s="403">
        <v>2.97142379292486E+16</v>
      </c>
    </row>
    <row r="1876" spans="1:2" ht="12.9" x14ac:dyDescent="0.35">
      <c r="A1876" s="401">
        <v>41695</v>
      </c>
      <c r="B1876" s="403">
        <v>2.50470801393142E+16</v>
      </c>
    </row>
    <row r="1877" spans="1:2" ht="12.9" x14ac:dyDescent="0.35">
      <c r="A1877" s="401">
        <v>41696</v>
      </c>
      <c r="B1877" s="403">
        <v>2.86252344449305E+16</v>
      </c>
    </row>
    <row r="1878" spans="1:2" ht="12.9" x14ac:dyDescent="0.35">
      <c r="A1878" s="401">
        <v>41697</v>
      </c>
      <c r="B1878" s="403">
        <v>2.92475221502551E+16</v>
      </c>
    </row>
    <row r="1879" spans="1:2" ht="12.9" x14ac:dyDescent="0.35">
      <c r="A1879" s="401">
        <v>41698</v>
      </c>
      <c r="B1879" s="403">
        <v>2.81585186659371E+16</v>
      </c>
    </row>
    <row r="1880" spans="1:2" ht="12.9" x14ac:dyDescent="0.35">
      <c r="A1880" s="401">
        <v>41699</v>
      </c>
      <c r="B1880" s="403">
        <v>2.73140148774655E+16</v>
      </c>
    </row>
    <row r="1881" spans="1:2" ht="12.9" x14ac:dyDescent="0.35">
      <c r="A1881" s="401">
        <v>41700</v>
      </c>
      <c r="B1881" s="403">
        <v>2.65552922419803E+16</v>
      </c>
    </row>
    <row r="1882" spans="1:2" ht="12.9" x14ac:dyDescent="0.35">
      <c r="A1882" s="401">
        <v>41701</v>
      </c>
      <c r="B1882" s="403">
        <v>2.80727375129506E+16</v>
      </c>
    </row>
    <row r="1883" spans="1:2" ht="12.9" x14ac:dyDescent="0.35">
      <c r="A1883" s="401">
        <v>41702</v>
      </c>
      <c r="B1883" s="403">
        <v>2.82624181718219E+16</v>
      </c>
    </row>
    <row r="1884" spans="1:2" ht="12.9" x14ac:dyDescent="0.35">
      <c r="A1884" s="401">
        <v>41703</v>
      </c>
      <c r="B1884" s="403">
        <v>2.95901827839209E+16</v>
      </c>
    </row>
    <row r="1885" spans="1:2" ht="12.9" x14ac:dyDescent="0.35">
      <c r="A1885" s="401">
        <v>41704</v>
      </c>
      <c r="B1885" s="403">
        <v>3.28147539847328E+16</v>
      </c>
    </row>
    <row r="1886" spans="1:2" ht="12.9" x14ac:dyDescent="0.35">
      <c r="A1886" s="401">
        <v>41705</v>
      </c>
      <c r="B1886" s="403">
        <v>3.14869893726338E+16</v>
      </c>
    </row>
    <row r="1887" spans="1:2" ht="12.9" x14ac:dyDescent="0.35">
      <c r="A1887" s="401">
        <v>41706</v>
      </c>
      <c r="B1887" s="403">
        <v>3.18663506903764E+16</v>
      </c>
    </row>
    <row r="1888" spans="1:2" ht="12.9" x14ac:dyDescent="0.35">
      <c r="A1888" s="401">
        <v>41707</v>
      </c>
      <c r="B1888" s="403">
        <v>3.39528379379606E+16</v>
      </c>
    </row>
    <row r="1889" spans="1:2" ht="12.9" x14ac:dyDescent="0.35">
      <c r="A1889" s="401">
        <v>41708</v>
      </c>
      <c r="B1889" s="403">
        <v>2.82624181718219E+16</v>
      </c>
    </row>
    <row r="1890" spans="1:2" ht="12.9" x14ac:dyDescent="0.35">
      <c r="A1890" s="401">
        <v>41709</v>
      </c>
      <c r="B1890" s="403">
        <v>3.18663506903764E+16</v>
      </c>
    </row>
    <row r="1891" spans="1:2" ht="12.9" x14ac:dyDescent="0.35">
      <c r="A1891" s="401">
        <v>41710</v>
      </c>
      <c r="B1891" s="403">
        <v>3.45218799145744E+16</v>
      </c>
    </row>
    <row r="1892" spans="1:2" ht="12.9" x14ac:dyDescent="0.35">
      <c r="A1892" s="401">
        <v>41711</v>
      </c>
      <c r="B1892" s="403">
        <v>3.42272755625902E+16</v>
      </c>
    </row>
    <row r="1893" spans="1:2" ht="12.9" x14ac:dyDescent="0.35">
      <c r="A1893" s="401">
        <v>41712</v>
      </c>
      <c r="B1893" s="403">
        <v>2.8100170677929E+16</v>
      </c>
    </row>
    <row r="1894" spans="1:2" ht="12.9" x14ac:dyDescent="0.35">
      <c r="A1894" s="401">
        <v>41713</v>
      </c>
      <c r="B1894" s="403">
        <v>3.48611139989345E+16</v>
      </c>
    </row>
    <row r="1895" spans="1:2" ht="12.9" x14ac:dyDescent="0.35">
      <c r="A1895" s="401">
        <v>41714</v>
      </c>
      <c r="B1895" s="403">
        <v>3.6128790871623E+16</v>
      </c>
    </row>
    <row r="1896" spans="1:2" ht="12.9" x14ac:dyDescent="0.35">
      <c r="A1896" s="401">
        <v>41715</v>
      </c>
      <c r="B1896" s="403">
        <v>3.40159960838088E+16</v>
      </c>
    </row>
    <row r="1897" spans="1:2" ht="12.9" x14ac:dyDescent="0.35">
      <c r="A1897" s="401">
        <v>41716</v>
      </c>
      <c r="B1897" s="403">
        <v>3.08468039020875E+16</v>
      </c>
    </row>
    <row r="1898" spans="1:2" ht="12.9" x14ac:dyDescent="0.35">
      <c r="A1898" s="401">
        <v>41717</v>
      </c>
      <c r="B1898" s="403">
        <v>3.38047166050274E+16</v>
      </c>
    </row>
    <row r="1899" spans="1:2" ht="12.9" x14ac:dyDescent="0.35">
      <c r="A1899" s="401">
        <v>41718</v>
      </c>
      <c r="B1899" s="403">
        <v>3.7396467744311504E+16</v>
      </c>
    </row>
    <row r="1900" spans="1:2" ht="12.9" x14ac:dyDescent="0.35">
      <c r="A1900" s="401">
        <v>41719</v>
      </c>
      <c r="B1900" s="403">
        <v>3.9297983053344304E+16</v>
      </c>
    </row>
    <row r="1901" spans="1:2" ht="12.9" x14ac:dyDescent="0.35">
      <c r="A1901" s="401">
        <v>41720</v>
      </c>
      <c r="B1901" s="403">
        <v>3.59175113928416E+16</v>
      </c>
    </row>
    <row r="1902" spans="1:2" ht="12.9" x14ac:dyDescent="0.35">
      <c r="A1902" s="401">
        <v>41721</v>
      </c>
      <c r="B1902" s="403">
        <v>4.5213808459224096E+16</v>
      </c>
    </row>
    <row r="1903" spans="1:2" ht="12.9" x14ac:dyDescent="0.35">
      <c r="A1903" s="401">
        <v>41722</v>
      </c>
      <c r="B1903" s="403">
        <v>3.97205420109072E+16</v>
      </c>
    </row>
    <row r="1904" spans="1:2" ht="12.9" x14ac:dyDescent="0.35">
      <c r="A1904" s="401">
        <v>41723</v>
      </c>
      <c r="B1904" s="403">
        <v>3.90761052123134E+16</v>
      </c>
    </row>
    <row r="1905" spans="1:2" ht="12.9" x14ac:dyDescent="0.35">
      <c r="A1905" s="401">
        <v>41724</v>
      </c>
      <c r="B1905" s="403">
        <v>3.9573889992088096E+16</v>
      </c>
    </row>
    <row r="1906" spans="1:2" ht="12.9" x14ac:dyDescent="0.35">
      <c r="A1906" s="401">
        <v>41725</v>
      </c>
      <c r="B1906" s="403">
        <v>4.3058383450511E+16</v>
      </c>
    </row>
    <row r="1907" spans="1:2" ht="12.9" x14ac:dyDescent="0.35">
      <c r="A1907" s="401">
        <v>41726</v>
      </c>
      <c r="B1907" s="403">
        <v>4.3307275840398304E+16</v>
      </c>
    </row>
    <row r="1908" spans="1:2" ht="12.9" x14ac:dyDescent="0.35">
      <c r="A1908" s="401">
        <v>41727</v>
      </c>
      <c r="B1908" s="403">
        <v>4.3556168230285696E+16</v>
      </c>
    </row>
    <row r="1909" spans="1:2" ht="12.9" x14ac:dyDescent="0.35">
      <c r="A1909" s="401">
        <v>41728</v>
      </c>
      <c r="B1909" s="403">
        <v>3.48449345842285E+16</v>
      </c>
    </row>
    <row r="1910" spans="1:2" ht="12.9" x14ac:dyDescent="0.35">
      <c r="A1910" s="401">
        <v>41729</v>
      </c>
      <c r="B1910" s="403">
        <v>4.48006301797224E+16</v>
      </c>
    </row>
    <row r="1911" spans="1:2" ht="12.9" x14ac:dyDescent="0.35">
      <c r="A1911" s="401">
        <v>41730</v>
      </c>
      <c r="B1911" s="403">
        <v>4.2560598670736304E+16</v>
      </c>
    </row>
    <row r="1912" spans="1:2" ht="12.9" x14ac:dyDescent="0.35">
      <c r="A1912" s="401">
        <v>41731</v>
      </c>
      <c r="B1912" s="403">
        <v>4.9031800807807296E+16</v>
      </c>
    </row>
    <row r="1913" spans="1:2" ht="12.9" x14ac:dyDescent="0.35">
      <c r="A1913" s="401">
        <v>41732</v>
      </c>
      <c r="B1913" s="403">
        <v>5.0774047537018704E+16</v>
      </c>
    </row>
    <row r="1914" spans="1:2" ht="12.9" x14ac:dyDescent="0.35">
      <c r="A1914" s="401">
        <v>41733</v>
      </c>
      <c r="B1914" s="403">
        <v>4.85340160280326E+16</v>
      </c>
    </row>
    <row r="1915" spans="1:2" ht="12.9" x14ac:dyDescent="0.35">
      <c r="A1915" s="401">
        <v>41734</v>
      </c>
      <c r="B1915" s="403">
        <v>5.20204630054554E+16</v>
      </c>
    </row>
    <row r="1916" spans="1:2" ht="12.9" x14ac:dyDescent="0.35">
      <c r="A1916" s="401">
        <v>41735</v>
      </c>
      <c r="B1916" s="403">
        <v>4.5936198326454704E+16</v>
      </c>
    </row>
    <row r="1917" spans="1:2" ht="12.9" x14ac:dyDescent="0.35">
      <c r="A1917" s="401">
        <v>41736</v>
      </c>
      <c r="B1917" s="403">
        <v>4.5936198326454704E+16</v>
      </c>
    </row>
    <row r="1918" spans="1:2" ht="12.9" x14ac:dyDescent="0.35">
      <c r="A1918" s="401">
        <v>41737</v>
      </c>
      <c r="B1918" s="403">
        <v>4.07645733493042E+16</v>
      </c>
    </row>
    <row r="1919" spans="1:2" ht="12.9" x14ac:dyDescent="0.35">
      <c r="A1919" s="401">
        <v>41738</v>
      </c>
      <c r="B1919" s="403">
        <v>4.8978330665955104E+16</v>
      </c>
    </row>
    <row r="1920" spans="1:2" ht="12.9" x14ac:dyDescent="0.35">
      <c r="A1920" s="401">
        <v>41739</v>
      </c>
      <c r="B1920" s="403">
        <v>4.7153051262254896E+16</v>
      </c>
    </row>
    <row r="1921" spans="1:2" ht="12.9" x14ac:dyDescent="0.35">
      <c r="A1921" s="401">
        <v>41740</v>
      </c>
      <c r="B1921" s="403">
        <v>5.1412036537555296E+16</v>
      </c>
    </row>
    <row r="1922" spans="1:2" ht="12.9" x14ac:dyDescent="0.35">
      <c r="A1922" s="401">
        <v>41741</v>
      </c>
      <c r="B1922" s="403">
        <v>4.8978330665955104E+16</v>
      </c>
    </row>
    <row r="1923" spans="1:2" ht="12.9" x14ac:dyDescent="0.35">
      <c r="A1923" s="401">
        <v>41742</v>
      </c>
      <c r="B1923" s="403">
        <v>5.6887874748655904E+16</v>
      </c>
    </row>
    <row r="1924" spans="1:2" ht="12.9" x14ac:dyDescent="0.35">
      <c r="A1924" s="401">
        <v>41743</v>
      </c>
      <c r="B1924" s="403">
        <v>5.8713154152356096E+16</v>
      </c>
    </row>
    <row r="1925" spans="1:2" ht="12.9" x14ac:dyDescent="0.35">
      <c r="A1925" s="401">
        <v>41744</v>
      </c>
      <c r="B1925" s="403">
        <v>5.5366808578905696E+16</v>
      </c>
    </row>
    <row r="1926" spans="1:2" ht="12.9" x14ac:dyDescent="0.35">
      <c r="A1926" s="401">
        <v>41745</v>
      </c>
      <c r="B1926" s="403">
        <v>4.8369904198055E+16</v>
      </c>
    </row>
    <row r="1927" spans="1:2" ht="12.9" x14ac:dyDescent="0.35">
      <c r="A1927" s="401">
        <v>41746</v>
      </c>
      <c r="B1927" s="403">
        <v>5.1412036537555296E+16</v>
      </c>
    </row>
    <row r="1928" spans="1:2" ht="12.9" x14ac:dyDescent="0.35">
      <c r="A1928" s="401">
        <v>41747</v>
      </c>
      <c r="B1928" s="403">
        <v>5.5507223970236304E+16</v>
      </c>
    </row>
    <row r="1929" spans="1:2" ht="12.9" x14ac:dyDescent="0.35">
      <c r="A1929" s="401">
        <v>41748</v>
      </c>
      <c r="B1929" s="403">
        <v>5.5160303820422304E+16</v>
      </c>
    </row>
    <row r="1930" spans="1:2" ht="12.9" x14ac:dyDescent="0.35">
      <c r="A1930" s="401">
        <v>41749</v>
      </c>
      <c r="B1930" s="403">
        <v>6.1751786666887904E+16</v>
      </c>
    </row>
    <row r="1931" spans="1:2" ht="12.9" x14ac:dyDescent="0.35">
      <c r="A1931" s="401">
        <v>41750</v>
      </c>
      <c r="B1931" s="403">
        <v>5.9323345618190096E+16</v>
      </c>
    </row>
    <row r="1932" spans="1:2" ht="12.9" x14ac:dyDescent="0.35">
      <c r="A1932" s="401">
        <v>41751</v>
      </c>
      <c r="B1932" s="403">
        <v>5.34257030713524E+16</v>
      </c>
    </row>
    <row r="1933" spans="1:2" ht="12.9" x14ac:dyDescent="0.35">
      <c r="A1933" s="401">
        <v>41752</v>
      </c>
      <c r="B1933" s="403">
        <v>5.72418247193062E+16</v>
      </c>
    </row>
    <row r="1934" spans="1:2" ht="12.9" x14ac:dyDescent="0.35">
      <c r="A1934" s="401">
        <v>41753</v>
      </c>
      <c r="B1934" s="403">
        <v>5.2384942621910496E+16</v>
      </c>
    </row>
    <row r="1935" spans="1:2" ht="12.9" x14ac:dyDescent="0.35">
      <c r="A1935" s="401">
        <v>41754</v>
      </c>
      <c r="B1935" s="403">
        <v>6.31394672661438E+16</v>
      </c>
    </row>
    <row r="1936" spans="1:2" ht="12.9" x14ac:dyDescent="0.35">
      <c r="A1936" s="401">
        <v>41755</v>
      </c>
      <c r="B1936" s="403">
        <v>5.65479844196782E+16</v>
      </c>
    </row>
    <row r="1937" spans="1:2" ht="12.9" x14ac:dyDescent="0.35">
      <c r="A1937" s="401">
        <v>41756</v>
      </c>
      <c r="B1937" s="403">
        <v>6.1404866517073904E+16</v>
      </c>
    </row>
    <row r="1938" spans="1:2" ht="12.9" x14ac:dyDescent="0.35">
      <c r="A1938" s="401">
        <v>41757</v>
      </c>
      <c r="B1938" s="403">
        <v>5.2731862771724496E+16</v>
      </c>
    </row>
    <row r="1939" spans="1:2" ht="12.9" x14ac:dyDescent="0.35">
      <c r="A1939" s="401">
        <v>41758</v>
      </c>
      <c r="B1939" s="403">
        <v>5.9323345618190096E+16</v>
      </c>
    </row>
    <row r="1940" spans="1:2" ht="12.9" x14ac:dyDescent="0.35">
      <c r="A1940" s="401">
        <v>41759</v>
      </c>
      <c r="B1940" s="403">
        <v>5.4488395027708896E+16</v>
      </c>
    </row>
    <row r="1941" spans="1:2" ht="12.9" x14ac:dyDescent="0.35">
      <c r="A1941" s="401">
        <v>41760</v>
      </c>
      <c r="B1941" s="403">
        <v>6.9999689962604096E+16</v>
      </c>
    </row>
    <row r="1942" spans="1:2" ht="12.9" x14ac:dyDescent="0.35">
      <c r="A1942" s="401">
        <v>41761</v>
      </c>
      <c r="B1942" s="403">
        <v>6.4033807295336704E+16</v>
      </c>
    </row>
    <row r="1943" spans="1:2" ht="12.9" x14ac:dyDescent="0.35">
      <c r="A1943" s="401">
        <v>41762</v>
      </c>
      <c r="B1943" s="403">
        <v>5.6477022583464704E+16</v>
      </c>
    </row>
    <row r="1944" spans="1:2" ht="12.9" x14ac:dyDescent="0.35">
      <c r="A1944" s="401">
        <v>41763</v>
      </c>
      <c r="B1944" s="403">
        <v>6.0056552183825104E+16</v>
      </c>
    </row>
    <row r="1945" spans="1:2" ht="12.9" x14ac:dyDescent="0.35">
      <c r="A1945" s="401">
        <v>41764</v>
      </c>
      <c r="B1945" s="403">
        <v>4.9715688893895E+16</v>
      </c>
    </row>
    <row r="1946" spans="1:2" ht="12.9" x14ac:dyDescent="0.35">
      <c r="A1946" s="401">
        <v>41765</v>
      </c>
      <c r="B1946" s="403">
        <v>7.7158749163324992E+16</v>
      </c>
    </row>
    <row r="1947" spans="1:2" ht="12.9" x14ac:dyDescent="0.35">
      <c r="A1947" s="401">
        <v>41766</v>
      </c>
      <c r="B1947" s="403">
        <v>6.32383562730344E+16</v>
      </c>
    </row>
    <row r="1948" spans="1:2" ht="12.9" x14ac:dyDescent="0.35">
      <c r="A1948" s="401">
        <v>41767</v>
      </c>
      <c r="B1948" s="403">
        <v>6.6420160362243696E+16</v>
      </c>
    </row>
    <row r="1949" spans="1:2" ht="12.9" x14ac:dyDescent="0.35">
      <c r="A1949" s="401">
        <v>41768</v>
      </c>
      <c r="B1949" s="403">
        <v>6.76133368956972E+16</v>
      </c>
    </row>
    <row r="1950" spans="1:2" ht="12.9" x14ac:dyDescent="0.35">
      <c r="A1950" s="401">
        <v>41769</v>
      </c>
      <c r="B1950" s="403">
        <v>7.11928664960576E+16</v>
      </c>
    </row>
    <row r="1951" spans="1:2" ht="12.9" x14ac:dyDescent="0.35">
      <c r="A1951" s="401">
        <v>41770</v>
      </c>
      <c r="B1951" s="403">
        <v>6.0454277694976304E+16</v>
      </c>
    </row>
    <row r="1952" spans="1:2" ht="12.9" x14ac:dyDescent="0.35">
      <c r="A1952" s="401">
        <v>41771</v>
      </c>
      <c r="B1952" s="403">
        <v>6.52269838287902E+16</v>
      </c>
    </row>
    <row r="1953" spans="1:2" ht="12.9" x14ac:dyDescent="0.35">
      <c r="A1953" s="401">
        <v>41772</v>
      </c>
      <c r="B1953" s="403">
        <v>7.1297125322958304E+16</v>
      </c>
    </row>
    <row r="1954" spans="1:2" ht="12.9" x14ac:dyDescent="0.35">
      <c r="A1954" s="401">
        <v>41773</v>
      </c>
      <c r="B1954" s="403">
        <v>6.6015856780516896E+16</v>
      </c>
    </row>
    <row r="1955" spans="1:2" ht="12.9" x14ac:dyDescent="0.35">
      <c r="A1955" s="401">
        <v>41774</v>
      </c>
      <c r="B1955" s="403">
        <v>7.5258076729789296E+16</v>
      </c>
    </row>
    <row r="1956" spans="1:2" ht="12.9" x14ac:dyDescent="0.35">
      <c r="A1956" s="401">
        <v>41775</v>
      </c>
      <c r="B1956" s="403">
        <v>7.9659133848490496E+16</v>
      </c>
    </row>
    <row r="1957" spans="1:2" ht="12.9" x14ac:dyDescent="0.35">
      <c r="A1957" s="401">
        <v>41776</v>
      </c>
      <c r="B1957" s="403">
        <v>7.61382881535296E+16</v>
      </c>
    </row>
    <row r="1958" spans="1:2" ht="12.9" x14ac:dyDescent="0.35">
      <c r="A1958" s="401">
        <v>41777</v>
      </c>
      <c r="B1958" s="403">
        <v>7.5698182441659392E+16</v>
      </c>
    </row>
    <row r="1959" spans="1:2" ht="12.9" x14ac:dyDescent="0.35">
      <c r="A1959" s="401">
        <v>41778</v>
      </c>
      <c r="B1959" s="403">
        <v>7.3937759594179008E+16</v>
      </c>
    </row>
    <row r="1960" spans="1:2" ht="12.9" x14ac:dyDescent="0.35">
      <c r="A1960" s="401">
        <v>41779</v>
      </c>
      <c r="B1960" s="403">
        <v>7.789871100101E+16</v>
      </c>
    </row>
    <row r="1961" spans="1:2" ht="12.9" x14ac:dyDescent="0.35">
      <c r="A1961" s="401">
        <v>41780</v>
      </c>
      <c r="B1961" s="403">
        <v>7.7018499577269792E+16</v>
      </c>
    </row>
    <row r="1962" spans="1:2" ht="12.9" x14ac:dyDescent="0.35">
      <c r="A1962" s="401">
        <v>41781</v>
      </c>
      <c r="B1962" s="403">
        <v>7.5698182441659392E+16</v>
      </c>
    </row>
    <row r="1963" spans="1:2" ht="12.9" x14ac:dyDescent="0.35">
      <c r="A1963" s="401">
        <v>41782</v>
      </c>
      <c r="B1963" s="403">
        <v>7.2617442458568608E+16</v>
      </c>
    </row>
    <row r="1964" spans="1:2" ht="12.9" x14ac:dyDescent="0.35">
      <c r="A1964" s="401">
        <v>41783</v>
      </c>
      <c r="B1964" s="403">
        <v>8.0042526757429792E+16</v>
      </c>
    </row>
    <row r="1965" spans="1:2" ht="12.9" x14ac:dyDescent="0.35">
      <c r="A1965" s="401">
        <v>41784</v>
      </c>
      <c r="B1965" s="403">
        <v>8.3680823428222096E+16</v>
      </c>
    </row>
    <row r="1966" spans="1:2" ht="12.9" x14ac:dyDescent="0.35">
      <c r="A1966" s="401">
        <v>41785</v>
      </c>
      <c r="B1966" s="403">
        <v>8.2121553426453904E+16</v>
      </c>
    </row>
    <row r="1967" spans="1:2" ht="12.9" x14ac:dyDescent="0.35">
      <c r="A1967" s="401">
        <v>41786</v>
      </c>
      <c r="B1967" s="403">
        <v>7.0686906746821104E+16</v>
      </c>
    </row>
    <row r="1968" spans="1:2" ht="12.9" x14ac:dyDescent="0.35">
      <c r="A1968" s="401">
        <v>41787</v>
      </c>
      <c r="B1968" s="403">
        <v>8.7838876766270304E+16</v>
      </c>
    </row>
    <row r="1969" spans="1:2" ht="12.9" x14ac:dyDescent="0.35">
      <c r="A1969" s="401">
        <v>41788</v>
      </c>
      <c r="B1969" s="403">
        <v>7.3285690083101296E+16</v>
      </c>
    </row>
    <row r="1970" spans="1:2" ht="12.9" x14ac:dyDescent="0.35">
      <c r="A1970" s="401">
        <v>41789</v>
      </c>
      <c r="B1970" s="403">
        <v>8.6799363431758304E+16</v>
      </c>
    </row>
    <row r="1971" spans="1:2" ht="12.9" x14ac:dyDescent="0.35">
      <c r="A1971" s="401">
        <v>41790</v>
      </c>
      <c r="B1971" s="403">
        <v>7.6404230086637504E+16</v>
      </c>
    </row>
    <row r="1972" spans="1:2" ht="12.9" x14ac:dyDescent="0.35">
      <c r="A1972" s="401">
        <v>41791</v>
      </c>
      <c r="B1972" s="403">
        <v>9.0957416769806592E+16</v>
      </c>
    </row>
    <row r="1973" spans="1:2" ht="12.9" x14ac:dyDescent="0.35">
      <c r="A1973" s="401">
        <v>41792</v>
      </c>
      <c r="B1973" s="403">
        <v>1.0031303678041501E+17</v>
      </c>
    </row>
    <row r="1974" spans="1:2" ht="12.9" x14ac:dyDescent="0.35">
      <c r="A1974" s="401">
        <v>41793</v>
      </c>
      <c r="B1974" s="403">
        <v>9.2516686771574704E+16</v>
      </c>
    </row>
    <row r="1975" spans="1:2" ht="12.9" x14ac:dyDescent="0.35">
      <c r="A1975" s="401">
        <v>41794</v>
      </c>
      <c r="B1975" s="403">
        <v>9.40759567733428E+16</v>
      </c>
    </row>
    <row r="1976" spans="1:2" ht="12.9" x14ac:dyDescent="0.35">
      <c r="A1976" s="401">
        <v>41795</v>
      </c>
      <c r="B1976" s="403">
        <v>7.9003013422917696E+16</v>
      </c>
    </row>
    <row r="1977" spans="1:2" ht="12.9" x14ac:dyDescent="0.35">
      <c r="A1977" s="401">
        <v>41796</v>
      </c>
      <c r="B1977" s="403">
        <v>8.1234569832861104E+16</v>
      </c>
    </row>
    <row r="1978" spans="1:2" ht="12.9" x14ac:dyDescent="0.35">
      <c r="A1978" s="401">
        <v>41797</v>
      </c>
      <c r="B1978" s="403">
        <v>9.0585311684125696E+16</v>
      </c>
    </row>
    <row r="1979" spans="1:2" ht="12.9" x14ac:dyDescent="0.35">
      <c r="A1979" s="401">
        <v>41798</v>
      </c>
      <c r="B1979" s="403">
        <v>7.9481305735748992E+16</v>
      </c>
    </row>
    <row r="1980" spans="1:2" ht="12.9" x14ac:dyDescent="0.35">
      <c r="A1980" s="401">
        <v>41799</v>
      </c>
      <c r="B1980" s="403">
        <v>9.1169733049829696E+16</v>
      </c>
    </row>
    <row r="1981" spans="1:2" ht="12.9" x14ac:dyDescent="0.35">
      <c r="A1981" s="401">
        <v>41800</v>
      </c>
      <c r="B1981" s="403">
        <v>9.7598368072574096E+16</v>
      </c>
    </row>
    <row r="1982" spans="1:2" ht="12.9" x14ac:dyDescent="0.35">
      <c r="A1982" s="401">
        <v>41801</v>
      </c>
      <c r="B1982" s="403">
        <v>8.5325519392789296E+16</v>
      </c>
    </row>
    <row r="1983" spans="1:2" ht="12.9" x14ac:dyDescent="0.35">
      <c r="A1983" s="401">
        <v>41802</v>
      </c>
      <c r="B1983" s="403">
        <v>1.00520474901094E+17</v>
      </c>
    </row>
    <row r="1984" spans="1:2" ht="12.9" x14ac:dyDescent="0.35">
      <c r="A1984" s="401">
        <v>41803</v>
      </c>
      <c r="B1984" s="403">
        <v>9.5260682609758E+16</v>
      </c>
    </row>
    <row r="1985" spans="1:2" ht="12.9" x14ac:dyDescent="0.35">
      <c r="A1985" s="401">
        <v>41804</v>
      </c>
      <c r="B1985" s="403">
        <v>1.04027003095318E+17</v>
      </c>
    </row>
    <row r="1986" spans="1:2" ht="12.9" x14ac:dyDescent="0.35">
      <c r="A1986" s="401">
        <v>41805</v>
      </c>
      <c r="B1986" s="403">
        <v>1.1104005948376701E+17</v>
      </c>
    </row>
    <row r="1987" spans="1:2" ht="12.9" x14ac:dyDescent="0.35">
      <c r="A1987" s="401">
        <v>41806</v>
      </c>
      <c r="B1987" s="403">
        <v>1.09871216752358E+17</v>
      </c>
    </row>
    <row r="1988" spans="1:2" ht="12.9" x14ac:dyDescent="0.35">
      <c r="A1988" s="401">
        <v>41807</v>
      </c>
      <c r="B1988" s="403">
        <v>1.07533531289542E+17</v>
      </c>
    </row>
    <row r="1989" spans="1:2" ht="12.9" x14ac:dyDescent="0.35">
      <c r="A1989" s="401">
        <v>41808</v>
      </c>
      <c r="B1989" s="403">
        <v>1.0573810100975699E+17</v>
      </c>
    </row>
    <row r="1990" spans="1:2" ht="12.9" x14ac:dyDescent="0.35">
      <c r="A1990" s="401">
        <v>41809</v>
      </c>
      <c r="B1990" s="403">
        <v>1.1176115739638899E+17</v>
      </c>
    </row>
    <row r="1991" spans="1:2" ht="12.9" x14ac:dyDescent="0.35">
      <c r="A1991" s="401">
        <v>41810</v>
      </c>
      <c r="B1991" s="403">
        <v>1.24476498657056E+17</v>
      </c>
    </row>
    <row r="1992" spans="1:2" ht="12.9" x14ac:dyDescent="0.35">
      <c r="A1992" s="401">
        <v>41811</v>
      </c>
      <c r="B1992" s="403">
        <v>1.24476498657056E+17</v>
      </c>
    </row>
    <row r="1993" spans="1:2" ht="12.9" x14ac:dyDescent="0.35">
      <c r="A1993" s="401">
        <v>41812</v>
      </c>
      <c r="B1993" s="403">
        <v>1.2046112773263501E+17</v>
      </c>
    </row>
    <row r="1994" spans="1:2" ht="12.9" x14ac:dyDescent="0.35">
      <c r="A1994" s="401">
        <v>41813</v>
      </c>
      <c r="B1994" s="403">
        <v>1.1778421378302E+17</v>
      </c>
    </row>
    <row r="1995" spans="1:2" ht="12.9" x14ac:dyDescent="0.35">
      <c r="A1995" s="401">
        <v>41814</v>
      </c>
      <c r="B1995" s="403">
        <v>1.2581495563186301E+17</v>
      </c>
    </row>
    <row r="1996" spans="1:2" ht="12.9" x14ac:dyDescent="0.35">
      <c r="A1996" s="401">
        <v>41815</v>
      </c>
      <c r="B1996" s="403">
        <v>1.2514572714445901E+17</v>
      </c>
    </row>
    <row r="1997" spans="1:2" ht="12.9" x14ac:dyDescent="0.35">
      <c r="A1997" s="401">
        <v>41816</v>
      </c>
      <c r="B1997" s="403">
        <v>1.1443807134600301E+17</v>
      </c>
    </row>
    <row r="1998" spans="1:2" ht="12.9" x14ac:dyDescent="0.35">
      <c r="A1998" s="401">
        <v>41817</v>
      </c>
      <c r="B1998" s="403">
        <v>1.31838012018494E+17</v>
      </c>
    </row>
    <row r="1999" spans="1:2" ht="12.9" x14ac:dyDescent="0.35">
      <c r="A1999" s="401">
        <v>41818</v>
      </c>
      <c r="B1999" s="403">
        <v>1.21799584707442E+17</v>
      </c>
    </row>
    <row r="2000" spans="1:2" ht="12.9" x14ac:dyDescent="0.35">
      <c r="A2000" s="401">
        <v>41819</v>
      </c>
      <c r="B2000" s="403">
        <v>1.31259889174E+17</v>
      </c>
    </row>
    <row r="2001" spans="1:2" ht="12.9" x14ac:dyDescent="0.35">
      <c r="A2001" s="401">
        <v>41820</v>
      </c>
      <c r="B2001" s="403">
        <v>1.1035863293610099E+17</v>
      </c>
    </row>
    <row r="2002" spans="1:2" ht="12.9" x14ac:dyDescent="0.35">
      <c r="A2002" s="401">
        <v>41821</v>
      </c>
      <c r="B2002" s="403">
        <v>1.1119468318561699E+17</v>
      </c>
    </row>
    <row r="2003" spans="1:2" ht="12.9" x14ac:dyDescent="0.35">
      <c r="A2003" s="401">
        <v>41822</v>
      </c>
      <c r="B2003" s="403">
        <v>1.1453888418368099E+17</v>
      </c>
    </row>
    <row r="2004" spans="1:2" ht="12.9" x14ac:dyDescent="0.35">
      <c r="A2004" s="401">
        <v>41823</v>
      </c>
      <c r="B2004" s="403">
        <v>1.1621098468271299E+17</v>
      </c>
    </row>
    <row r="2005" spans="1:2" ht="12.9" x14ac:dyDescent="0.35">
      <c r="A2005" s="401">
        <v>41824</v>
      </c>
      <c r="B2005" s="403">
        <v>1.3878434141964301E+17</v>
      </c>
    </row>
    <row r="2006" spans="1:2" ht="12.9" x14ac:dyDescent="0.35">
      <c r="A2006" s="401">
        <v>41825</v>
      </c>
      <c r="B2006" s="403">
        <v>1.2707963792642E+17</v>
      </c>
    </row>
    <row r="2007" spans="1:2" ht="12.9" x14ac:dyDescent="0.35">
      <c r="A2007" s="401">
        <v>41826</v>
      </c>
      <c r="B2007" s="403">
        <v>1.1871913543126099E+17</v>
      </c>
    </row>
    <row r="2008" spans="1:2" ht="12.9" x14ac:dyDescent="0.35">
      <c r="A2008" s="401">
        <v>41827</v>
      </c>
      <c r="B2008" s="403">
        <v>1.25407537427388E+17</v>
      </c>
    </row>
    <row r="2009" spans="1:2" ht="12.9" x14ac:dyDescent="0.35">
      <c r="A2009" s="401">
        <v>41828</v>
      </c>
      <c r="B2009" s="403">
        <v>1.25407537427388E+17</v>
      </c>
    </row>
    <row r="2010" spans="1:2" ht="12.9" x14ac:dyDescent="0.35">
      <c r="A2010" s="401">
        <v>41829</v>
      </c>
      <c r="B2010" s="403">
        <v>1.3878434141964301E+17</v>
      </c>
    </row>
    <row r="2011" spans="1:2" ht="12.9" x14ac:dyDescent="0.35">
      <c r="A2011" s="401">
        <v>41830</v>
      </c>
      <c r="B2011" s="403">
        <v>1.24571487177872E+17</v>
      </c>
    </row>
    <row r="2012" spans="1:2" ht="12.9" x14ac:dyDescent="0.35">
      <c r="A2012" s="401">
        <v>41831</v>
      </c>
      <c r="B2012" s="403">
        <v>1.30423838924484E+17</v>
      </c>
    </row>
    <row r="2013" spans="1:2" ht="12.9" x14ac:dyDescent="0.35">
      <c r="A2013" s="401">
        <v>41832</v>
      </c>
      <c r="B2013" s="403">
        <v>1.31259889174E+17</v>
      </c>
    </row>
    <row r="2014" spans="1:2" ht="12.9" x14ac:dyDescent="0.35">
      <c r="A2014" s="401">
        <v>41833</v>
      </c>
      <c r="B2014" s="403">
        <v>1.3788687862181699E+17</v>
      </c>
    </row>
    <row r="2015" spans="1:2" ht="12.9" x14ac:dyDescent="0.35">
      <c r="A2015" s="401">
        <v>41834</v>
      </c>
      <c r="B2015" s="403">
        <v>1.16342053837158E+17</v>
      </c>
    </row>
    <row r="2016" spans="1:2" ht="12.9" x14ac:dyDescent="0.35">
      <c r="A2016" s="401">
        <v>41835</v>
      </c>
      <c r="B2016" s="403">
        <v>1.3702508563043101E+17</v>
      </c>
    </row>
    <row r="2017" spans="1:2" ht="12.9" x14ac:dyDescent="0.35">
      <c r="A2017" s="401">
        <v>41836</v>
      </c>
      <c r="B2017" s="403">
        <v>1.2409819075963501E+17</v>
      </c>
    </row>
    <row r="2018" spans="1:2" ht="12.9" x14ac:dyDescent="0.35">
      <c r="A2018" s="401">
        <v>41837</v>
      </c>
      <c r="B2018" s="403">
        <v>1.4822839451845299E+17</v>
      </c>
    </row>
    <row r="2019" spans="1:2" ht="12.9" x14ac:dyDescent="0.35">
      <c r="A2019" s="401">
        <v>41838</v>
      </c>
      <c r="B2019" s="403">
        <v>1.4822839451845299E+17</v>
      </c>
    </row>
    <row r="2020" spans="1:2" ht="12.9" x14ac:dyDescent="0.35">
      <c r="A2020" s="401">
        <v>41839</v>
      </c>
      <c r="B2020" s="403">
        <v>1.5253735947538499E+17</v>
      </c>
    </row>
    <row r="2021" spans="1:2" ht="12.9" x14ac:dyDescent="0.35">
      <c r="A2021" s="401">
        <v>41840</v>
      </c>
      <c r="B2021" s="403">
        <v>1.3357791366488499E+17</v>
      </c>
    </row>
    <row r="2022" spans="1:2" ht="12.9" x14ac:dyDescent="0.35">
      <c r="A2022" s="401">
        <v>41841</v>
      </c>
      <c r="B2022" s="403">
        <v>1.3357791366488499E+17</v>
      </c>
    </row>
    <row r="2023" spans="1:2" ht="12.9" x14ac:dyDescent="0.35">
      <c r="A2023" s="401">
        <v>41842</v>
      </c>
      <c r="B2023" s="403">
        <v>1.22374604776862E+17</v>
      </c>
    </row>
    <row r="2024" spans="1:2" ht="12.9" x14ac:dyDescent="0.35">
      <c r="A2024" s="401">
        <v>41843</v>
      </c>
      <c r="B2024" s="403">
        <v>1.25821776742408E+17</v>
      </c>
    </row>
    <row r="2025" spans="1:2" ht="12.9" x14ac:dyDescent="0.35">
      <c r="A2025" s="401">
        <v>41844</v>
      </c>
      <c r="B2025" s="403">
        <v>1.2323639776824899E+17</v>
      </c>
    </row>
    <row r="2026" spans="1:2" ht="12.9" x14ac:dyDescent="0.35">
      <c r="A2026" s="401">
        <v>41845</v>
      </c>
      <c r="B2026" s="403">
        <v>1.40472257595976E+17</v>
      </c>
    </row>
    <row r="2027" spans="1:2" ht="12.9" x14ac:dyDescent="0.35">
      <c r="A2027" s="401">
        <v>41846</v>
      </c>
      <c r="B2027" s="403">
        <v>1.24806737276294E+17</v>
      </c>
    </row>
    <row r="2028" spans="1:2" ht="12.9" x14ac:dyDescent="0.35">
      <c r="A2028" s="401">
        <v>41847</v>
      </c>
      <c r="B2028" s="403">
        <v>1.42503214949798E+17</v>
      </c>
    </row>
    <row r="2029" spans="1:2" ht="12.9" x14ac:dyDescent="0.35">
      <c r="A2029" s="401">
        <v>41848</v>
      </c>
      <c r="B2029" s="403">
        <v>1.39709034264508E+17</v>
      </c>
    </row>
    <row r="2030" spans="1:2" ht="12.9" x14ac:dyDescent="0.35">
      <c r="A2030" s="401">
        <v>41849</v>
      </c>
      <c r="B2030" s="403">
        <v>1.38777640702744E+17</v>
      </c>
    </row>
    <row r="2031" spans="1:2" ht="12.9" x14ac:dyDescent="0.35">
      <c r="A2031" s="401">
        <v>41850</v>
      </c>
      <c r="B2031" s="403">
        <v>1.6019969262330202E+17</v>
      </c>
    </row>
    <row r="2032" spans="1:2" ht="12.9" x14ac:dyDescent="0.35">
      <c r="A2032" s="401">
        <v>41851</v>
      </c>
      <c r="B2032" s="403">
        <v>1.4343460851156099E+17</v>
      </c>
    </row>
    <row r="2033" spans="1:2" ht="12.9" x14ac:dyDescent="0.35">
      <c r="A2033" s="401">
        <v>41852</v>
      </c>
      <c r="B2033" s="403">
        <v>1.4622878919685101E+17</v>
      </c>
    </row>
    <row r="2034" spans="1:2" ht="12.9" x14ac:dyDescent="0.35">
      <c r="A2034" s="401">
        <v>41853</v>
      </c>
      <c r="B2034" s="403">
        <v>1.51817150567432E+17</v>
      </c>
    </row>
    <row r="2035" spans="1:2" ht="12.9" x14ac:dyDescent="0.35">
      <c r="A2035" s="401">
        <v>41854</v>
      </c>
      <c r="B2035" s="403">
        <v>1.4343460851156099E+17</v>
      </c>
    </row>
    <row r="2036" spans="1:2" ht="12.9" x14ac:dyDescent="0.35">
      <c r="A2036" s="401">
        <v>41855</v>
      </c>
      <c r="B2036" s="403">
        <v>1.1921837590571299E+17</v>
      </c>
    </row>
    <row r="2037" spans="1:2" ht="12.9" x14ac:dyDescent="0.35">
      <c r="A2037" s="401">
        <v>41856</v>
      </c>
      <c r="B2037" s="403">
        <v>1.2573813083805699E+17</v>
      </c>
    </row>
    <row r="2038" spans="1:2" ht="12.9" x14ac:dyDescent="0.35">
      <c r="A2038" s="401">
        <v>41857</v>
      </c>
      <c r="B2038" s="403">
        <v>1.5274854412919501E+17</v>
      </c>
    </row>
    <row r="2039" spans="1:2" ht="12.9" x14ac:dyDescent="0.35">
      <c r="A2039" s="401">
        <v>41858</v>
      </c>
      <c r="B2039" s="403">
        <v>1.4902296988214202E+17</v>
      </c>
    </row>
    <row r="2040" spans="1:2" ht="12.9" x14ac:dyDescent="0.35">
      <c r="A2040" s="401">
        <v>41859</v>
      </c>
      <c r="B2040" s="403">
        <v>1.5496103106570701E+17</v>
      </c>
    </row>
    <row r="2041" spans="1:2" ht="12.9" x14ac:dyDescent="0.35">
      <c r="A2041" s="401">
        <v>41860</v>
      </c>
      <c r="B2041" s="403">
        <v>1.78499415531384E+17</v>
      </c>
    </row>
    <row r="2042" spans="1:2" ht="12.9" x14ac:dyDescent="0.35">
      <c r="A2042" s="401">
        <v>41861</v>
      </c>
      <c r="B2042" s="403">
        <v>1.73595585434368E+17</v>
      </c>
    </row>
    <row r="2043" spans="1:2" ht="12.9" x14ac:dyDescent="0.35">
      <c r="A2043" s="401">
        <v>41862</v>
      </c>
      <c r="B2043" s="403">
        <v>1.78499415531384E+17</v>
      </c>
    </row>
    <row r="2044" spans="1:2" ht="12.9" x14ac:dyDescent="0.35">
      <c r="A2044" s="401">
        <v>41863</v>
      </c>
      <c r="B2044" s="403">
        <v>1.7065328737615802E+17</v>
      </c>
    </row>
    <row r="2045" spans="1:2" ht="12.9" x14ac:dyDescent="0.35">
      <c r="A2045" s="401">
        <v>41864</v>
      </c>
      <c r="B2045" s="403">
        <v>1.4221107281346499E+17</v>
      </c>
    </row>
    <row r="2046" spans="1:2" ht="12.9" x14ac:dyDescent="0.35">
      <c r="A2046" s="401">
        <v>41865</v>
      </c>
      <c r="B2046" s="403">
        <v>1.7653788349257699E+17</v>
      </c>
    </row>
    <row r="2047" spans="1:2" ht="12.9" x14ac:dyDescent="0.35">
      <c r="A2047" s="401">
        <v>41866</v>
      </c>
      <c r="B2047" s="403">
        <v>1.6182639320152899E+17</v>
      </c>
    </row>
    <row r="2048" spans="1:2" ht="12.9" x14ac:dyDescent="0.35">
      <c r="A2048" s="401">
        <v>41867</v>
      </c>
      <c r="B2048" s="403">
        <v>1.5496103106570701E+17</v>
      </c>
    </row>
    <row r="2049" spans="1:2" ht="12.9" x14ac:dyDescent="0.35">
      <c r="A2049" s="401">
        <v>41868</v>
      </c>
      <c r="B2049" s="403">
        <v>1.6673022329854499E+17</v>
      </c>
    </row>
    <row r="2050" spans="1:2" ht="12.9" x14ac:dyDescent="0.35">
      <c r="A2050" s="401">
        <v>41869</v>
      </c>
      <c r="B2050" s="403">
        <v>1.9419167184183501E+17</v>
      </c>
    </row>
    <row r="2051" spans="1:2" ht="12.9" x14ac:dyDescent="0.35">
      <c r="A2051" s="401">
        <v>41870</v>
      </c>
      <c r="B2051" s="403">
        <v>1.8242247960899699E+17</v>
      </c>
    </row>
    <row r="2052" spans="1:2" ht="12.9" x14ac:dyDescent="0.35">
      <c r="A2052" s="401">
        <v>41871</v>
      </c>
      <c r="B2052" s="403">
        <v>2.0031992108907699E+17</v>
      </c>
    </row>
    <row r="2053" spans="1:2" ht="12.9" x14ac:dyDescent="0.35">
      <c r="A2053" s="401">
        <v>41872</v>
      </c>
      <c r="B2053" s="403">
        <v>1.95578621181644E+17</v>
      </c>
    </row>
    <row r="2054" spans="1:2" ht="12.9" x14ac:dyDescent="0.35">
      <c r="A2054" s="401">
        <v>41873</v>
      </c>
      <c r="B2054" s="403">
        <v>1.86096021366776E+17</v>
      </c>
    </row>
    <row r="2055" spans="1:2" ht="12.9" x14ac:dyDescent="0.35">
      <c r="A2055" s="401">
        <v>41874</v>
      </c>
      <c r="B2055" s="403">
        <v>1.92022646251068E+17</v>
      </c>
    </row>
    <row r="2056" spans="1:2" ht="12.9" x14ac:dyDescent="0.35">
      <c r="A2056" s="401">
        <v>41875</v>
      </c>
      <c r="B2056" s="403">
        <v>1.7305744662133299E+17</v>
      </c>
    </row>
    <row r="2057" spans="1:2" ht="12.9" x14ac:dyDescent="0.35">
      <c r="A2057" s="401">
        <v>41876</v>
      </c>
      <c r="B2057" s="403">
        <v>1.6238952182960701E+17</v>
      </c>
    </row>
    <row r="2058" spans="1:2" ht="12.9" x14ac:dyDescent="0.35">
      <c r="A2058" s="401">
        <v>41877</v>
      </c>
      <c r="B2058" s="403">
        <v>2.0506122099651101E+17</v>
      </c>
    </row>
    <row r="2059" spans="1:2" ht="12.9" x14ac:dyDescent="0.35">
      <c r="A2059" s="401">
        <v>41878</v>
      </c>
      <c r="B2059" s="403">
        <v>2.0031992108907699E+17</v>
      </c>
    </row>
    <row r="2060" spans="1:2" ht="12.9" x14ac:dyDescent="0.35">
      <c r="A2060" s="401">
        <v>41879</v>
      </c>
      <c r="B2060" s="403">
        <v>2.0506122099651101E+17</v>
      </c>
    </row>
    <row r="2061" spans="1:2" ht="12.9" x14ac:dyDescent="0.35">
      <c r="A2061" s="401">
        <v>41880</v>
      </c>
      <c r="B2061" s="403">
        <v>2.01505246065936E+17</v>
      </c>
    </row>
    <row r="2062" spans="1:2" ht="12.9" x14ac:dyDescent="0.35">
      <c r="A2062" s="401">
        <v>41881</v>
      </c>
      <c r="B2062" s="403">
        <v>2.1572914578823699E+17</v>
      </c>
    </row>
    <row r="2063" spans="1:2" ht="12.9" x14ac:dyDescent="0.35">
      <c r="A2063" s="401">
        <v>41882</v>
      </c>
      <c r="B2063" s="403">
        <v>2.22841095649388E+17</v>
      </c>
    </row>
    <row r="2064" spans="1:2" ht="12.9" x14ac:dyDescent="0.35">
      <c r="A2064" s="401">
        <v>41883</v>
      </c>
      <c r="B2064" s="403">
        <v>1.8543391073030499E+17</v>
      </c>
    </row>
    <row r="2065" spans="1:2" ht="12.9" x14ac:dyDescent="0.35">
      <c r="A2065" s="401">
        <v>41884</v>
      </c>
      <c r="B2065" s="403">
        <v>2.00432241745256E+17</v>
      </c>
    </row>
    <row r="2066" spans="1:2" ht="12.9" x14ac:dyDescent="0.35">
      <c r="A2066" s="401">
        <v>41885</v>
      </c>
      <c r="B2066" s="403">
        <v>2.3042890377515901E+17</v>
      </c>
    </row>
    <row r="2067" spans="1:2" ht="12.9" x14ac:dyDescent="0.35">
      <c r="A2067" s="401">
        <v>41886</v>
      </c>
      <c r="B2067" s="403">
        <v>2.15430572760208E+17</v>
      </c>
    </row>
    <row r="2068" spans="1:2" ht="12.9" x14ac:dyDescent="0.35">
      <c r="A2068" s="401">
        <v>41887</v>
      </c>
      <c r="B2068" s="403">
        <v>1.9770527246981101E+17</v>
      </c>
    </row>
    <row r="2069" spans="1:2" ht="12.9" x14ac:dyDescent="0.35">
      <c r="A2069" s="401">
        <v>41888</v>
      </c>
      <c r="B2069" s="403">
        <v>2.4406375015238701E+17</v>
      </c>
    </row>
    <row r="2070" spans="1:2" ht="12.9" x14ac:dyDescent="0.35">
      <c r="A2070" s="401">
        <v>41889</v>
      </c>
      <c r="B2070" s="403">
        <v>2.1134011884703901E+17</v>
      </c>
    </row>
    <row r="2071" spans="1:2" ht="12.9" x14ac:dyDescent="0.35">
      <c r="A2071" s="401">
        <v>41890</v>
      </c>
      <c r="B2071" s="403">
        <v>1.96341787832088E+17</v>
      </c>
    </row>
    <row r="2072" spans="1:2" ht="12.9" x14ac:dyDescent="0.35">
      <c r="A2072" s="401">
        <v>41891</v>
      </c>
      <c r="B2072" s="403">
        <v>1.9906875710753402E+17</v>
      </c>
    </row>
    <row r="2073" spans="1:2" ht="12.9" x14ac:dyDescent="0.35">
      <c r="A2073" s="401">
        <v>41892</v>
      </c>
      <c r="B2073" s="403">
        <v>2.1406708812248499E+17</v>
      </c>
    </row>
    <row r="2074" spans="1:2" ht="12.9" x14ac:dyDescent="0.35">
      <c r="A2074" s="401">
        <v>41893</v>
      </c>
      <c r="B2074" s="403">
        <v>2.3179238841288198E+17</v>
      </c>
    </row>
    <row r="2075" spans="1:2" ht="12.9" x14ac:dyDescent="0.35">
      <c r="A2075" s="401">
        <v>41894</v>
      </c>
      <c r="B2075" s="403">
        <v>2.09976634209316E+17</v>
      </c>
    </row>
    <row r="2076" spans="1:2" ht="12.9" x14ac:dyDescent="0.35">
      <c r="A2076" s="401">
        <v>41895</v>
      </c>
      <c r="B2076" s="403">
        <v>2.4679071942783299E+17</v>
      </c>
    </row>
    <row r="2077" spans="1:2" ht="12.9" x14ac:dyDescent="0.35">
      <c r="A2077" s="401">
        <v>41896</v>
      </c>
      <c r="B2077" s="403">
        <v>2.3428936409899501E+17</v>
      </c>
    </row>
    <row r="2078" spans="1:2" ht="12.9" x14ac:dyDescent="0.35">
      <c r="A2078" s="401">
        <v>41897</v>
      </c>
      <c r="B2078" s="403">
        <v>2.3428936409899501E+17</v>
      </c>
    </row>
    <row r="2079" spans="1:2" ht="12.9" x14ac:dyDescent="0.35">
      <c r="A2079" s="401">
        <v>41898</v>
      </c>
      <c r="B2079" s="403">
        <v>2.5356633709448198E+17</v>
      </c>
    </row>
    <row r="2080" spans="1:2" ht="12.9" x14ac:dyDescent="0.35">
      <c r="A2080" s="401">
        <v>41899</v>
      </c>
      <c r="B2080" s="403">
        <v>2.7580899824312099E+17</v>
      </c>
    </row>
    <row r="2081" spans="1:2" ht="12.9" x14ac:dyDescent="0.35">
      <c r="A2081" s="401">
        <v>41900</v>
      </c>
      <c r="B2081" s="403">
        <v>2.6542908970708998E+17</v>
      </c>
    </row>
    <row r="2082" spans="1:2" ht="12.9" x14ac:dyDescent="0.35">
      <c r="A2082" s="401">
        <v>41901</v>
      </c>
      <c r="B2082" s="403">
        <v>2.5356633709448198E+17</v>
      </c>
    </row>
    <row r="2083" spans="1:2" ht="12.9" x14ac:dyDescent="0.35">
      <c r="A2083" s="401">
        <v>41902</v>
      </c>
      <c r="B2083" s="403">
        <v>2.6098055747736198E+17</v>
      </c>
    </row>
    <row r="2084" spans="1:2" ht="12.9" x14ac:dyDescent="0.35">
      <c r="A2084" s="401">
        <v>41903</v>
      </c>
      <c r="B2084" s="403">
        <v>2.4318642855845101E+17</v>
      </c>
    </row>
    <row r="2085" spans="1:2" ht="12.9" x14ac:dyDescent="0.35">
      <c r="A2085" s="401">
        <v>41904</v>
      </c>
      <c r="B2085" s="403">
        <v>2.4911780486475398E+17</v>
      </c>
    </row>
    <row r="2086" spans="1:2" ht="12.9" x14ac:dyDescent="0.35">
      <c r="A2086" s="401">
        <v>41905</v>
      </c>
      <c r="B2086" s="403">
        <v>2.22426611486388E+17</v>
      </c>
    </row>
    <row r="2087" spans="1:2" ht="12.9" x14ac:dyDescent="0.35">
      <c r="A2087" s="401">
        <v>41906</v>
      </c>
      <c r="B2087" s="403">
        <v>2.3132367594584301E+17</v>
      </c>
    </row>
    <row r="2088" spans="1:2" ht="12.9" x14ac:dyDescent="0.35">
      <c r="A2088" s="401">
        <v>41907</v>
      </c>
      <c r="B2088" s="403">
        <v>2.5504918117105798E+17</v>
      </c>
    </row>
    <row r="2089" spans="1:2" ht="12.9" x14ac:dyDescent="0.35">
      <c r="A2089" s="401">
        <v>41908</v>
      </c>
      <c r="B2089" s="403">
        <v>2.30885863009396E+17</v>
      </c>
    </row>
    <row r="2090" spans="1:2" ht="12.9" x14ac:dyDescent="0.35">
      <c r="A2090" s="401">
        <v>41909</v>
      </c>
      <c r="B2090" s="403">
        <v>2.30885863009396E+17</v>
      </c>
    </row>
    <row r="2091" spans="1:2" ht="12.9" x14ac:dyDescent="0.35">
      <c r="A2091" s="401">
        <v>41910</v>
      </c>
      <c r="B2091" s="403">
        <v>2.2399374769568301E+17</v>
      </c>
    </row>
    <row r="2092" spans="1:2" ht="12.9" x14ac:dyDescent="0.35">
      <c r="A2092" s="401">
        <v>41911</v>
      </c>
      <c r="B2092" s="403">
        <v>2.3605494949468099E+17</v>
      </c>
    </row>
    <row r="2093" spans="1:2" ht="12.9" x14ac:dyDescent="0.35">
      <c r="A2093" s="401">
        <v>41912</v>
      </c>
      <c r="B2093" s="403">
        <v>2.6362341074953402E+17</v>
      </c>
    </row>
    <row r="2094" spans="1:2" ht="12.9" x14ac:dyDescent="0.35">
      <c r="A2094" s="401">
        <v>41913</v>
      </c>
      <c r="B2094" s="403">
        <v>2.6706946840639101E+17</v>
      </c>
    </row>
    <row r="2095" spans="1:2" ht="12.9" x14ac:dyDescent="0.35">
      <c r="A2095" s="401">
        <v>41914</v>
      </c>
      <c r="B2095" s="403">
        <v>2.3777797832310899E+17</v>
      </c>
    </row>
    <row r="2096" spans="1:2" ht="12.9" x14ac:dyDescent="0.35">
      <c r="A2096" s="401">
        <v>41915</v>
      </c>
      <c r="B2096" s="403">
        <v>2.51562208950536E+17</v>
      </c>
    </row>
    <row r="2097" spans="1:2" ht="12.9" x14ac:dyDescent="0.35">
      <c r="A2097" s="401">
        <v>41916</v>
      </c>
      <c r="B2097" s="403">
        <v>2.6534643957796198E+17</v>
      </c>
    </row>
    <row r="2098" spans="1:2" ht="12.9" x14ac:dyDescent="0.35">
      <c r="A2098" s="401">
        <v>41917</v>
      </c>
      <c r="B2098" s="403">
        <v>2.9119187200438701E+17</v>
      </c>
    </row>
    <row r="2099" spans="1:2" ht="12.9" x14ac:dyDescent="0.35">
      <c r="A2099" s="401">
        <v>41918</v>
      </c>
      <c r="B2099" s="403">
        <v>2.7740764137696099E+17</v>
      </c>
    </row>
    <row r="2100" spans="1:2" ht="12.9" x14ac:dyDescent="0.35">
      <c r="A2100" s="401">
        <v>41919</v>
      </c>
      <c r="B2100" s="403">
        <v>2.30885863009396E+17</v>
      </c>
    </row>
    <row r="2101" spans="1:2" ht="12.9" x14ac:dyDescent="0.35">
      <c r="A2101" s="401">
        <v>41920</v>
      </c>
      <c r="B2101" s="403">
        <v>2.4811615129367901E+17</v>
      </c>
    </row>
    <row r="2102" spans="1:2" ht="12.9" x14ac:dyDescent="0.35">
      <c r="A2102" s="401">
        <v>41921</v>
      </c>
      <c r="B2102" s="403">
        <v>2.5500826660739299E+17</v>
      </c>
    </row>
    <row r="2103" spans="1:2" ht="12.9" x14ac:dyDescent="0.35">
      <c r="A2103" s="401">
        <v>41922</v>
      </c>
      <c r="B2103" s="403">
        <v>2.6969733697992701E+17</v>
      </c>
    </row>
    <row r="2104" spans="1:2" ht="12.9" x14ac:dyDescent="0.35">
      <c r="A2104" s="401">
        <v>41923</v>
      </c>
      <c r="B2104" s="403">
        <v>2.50557525968448E+17</v>
      </c>
    </row>
    <row r="2105" spans="1:2" ht="12.9" x14ac:dyDescent="0.35">
      <c r="A2105" s="401">
        <v>41924</v>
      </c>
      <c r="B2105" s="403">
        <v>2.5751745724534899E+17</v>
      </c>
    </row>
    <row r="2106" spans="1:2" ht="12.9" x14ac:dyDescent="0.35">
      <c r="A2106" s="401">
        <v>41925</v>
      </c>
      <c r="B2106" s="403">
        <v>2.6969733697992701E+17</v>
      </c>
    </row>
    <row r="2107" spans="1:2" ht="12.9" x14ac:dyDescent="0.35">
      <c r="A2107" s="401">
        <v>41926</v>
      </c>
      <c r="B2107" s="403">
        <v>2.29677732137744E+17</v>
      </c>
    </row>
    <row r="2108" spans="1:2" ht="12.9" x14ac:dyDescent="0.35">
      <c r="A2108" s="401">
        <v>41927</v>
      </c>
      <c r="B2108" s="403">
        <v>2.6273740570302499E+17</v>
      </c>
    </row>
    <row r="2109" spans="1:2" ht="12.9" x14ac:dyDescent="0.35">
      <c r="A2109" s="401">
        <v>41928</v>
      </c>
      <c r="B2109" s="403">
        <v>2.5751745724534899E+17</v>
      </c>
    </row>
    <row r="2110" spans="1:2" ht="12.9" x14ac:dyDescent="0.35">
      <c r="A2110" s="401">
        <v>41929</v>
      </c>
      <c r="B2110" s="403">
        <v>2.4707756032999699E+17</v>
      </c>
    </row>
    <row r="2111" spans="1:2" ht="12.9" x14ac:dyDescent="0.35">
      <c r="A2111" s="401">
        <v>41930</v>
      </c>
      <c r="B2111" s="403">
        <v>2.8535718235295501E+17</v>
      </c>
    </row>
    <row r="2112" spans="1:2" ht="12.9" x14ac:dyDescent="0.35">
      <c r="A2112" s="401">
        <v>41931</v>
      </c>
      <c r="B2112" s="403">
        <v>2.3141771495696899E+17</v>
      </c>
    </row>
    <row r="2113" spans="1:2" ht="12.9" x14ac:dyDescent="0.35">
      <c r="A2113" s="401">
        <v>41932</v>
      </c>
      <c r="B2113" s="403">
        <v>2.3837764623387101E+17</v>
      </c>
    </row>
    <row r="2114" spans="1:2" ht="12.9" x14ac:dyDescent="0.35">
      <c r="A2114" s="401">
        <v>41933</v>
      </c>
      <c r="B2114" s="403">
        <v>2.66217371341476E+17</v>
      </c>
    </row>
    <row r="2115" spans="1:2" ht="12.9" x14ac:dyDescent="0.35">
      <c r="A2115" s="401">
        <v>41934</v>
      </c>
      <c r="B2115" s="403">
        <v>2.76657268256828E+17</v>
      </c>
    </row>
    <row r="2116" spans="1:2" ht="12.9" x14ac:dyDescent="0.35">
      <c r="A2116" s="401">
        <v>41935</v>
      </c>
      <c r="B2116" s="403">
        <v>2.7011723793613901E+17</v>
      </c>
    </row>
    <row r="2117" spans="1:2" ht="12.9" x14ac:dyDescent="0.35">
      <c r="A2117" s="401">
        <v>41936</v>
      </c>
      <c r="B2117" s="403">
        <v>2.8442808497911299E+17</v>
      </c>
    </row>
    <row r="2118" spans="1:2" ht="12.9" x14ac:dyDescent="0.35">
      <c r="A2118" s="401">
        <v>41937</v>
      </c>
      <c r="B2118" s="403">
        <v>2.7727266145762598E+17</v>
      </c>
    </row>
    <row r="2119" spans="1:2" ht="12.9" x14ac:dyDescent="0.35">
      <c r="A2119" s="401">
        <v>41938</v>
      </c>
      <c r="B2119" s="403">
        <v>2.2360698504647299E+17</v>
      </c>
    </row>
    <row r="2120" spans="1:2" ht="12.9" x14ac:dyDescent="0.35">
      <c r="A2120" s="401">
        <v>41939</v>
      </c>
      <c r="B2120" s="403">
        <v>2.8442808497911299E+17</v>
      </c>
    </row>
    <row r="2121" spans="1:2" ht="12.9" x14ac:dyDescent="0.35">
      <c r="A2121" s="401">
        <v>41940</v>
      </c>
      <c r="B2121" s="403">
        <v>2.4686211149130598E+17</v>
      </c>
    </row>
    <row r="2122" spans="1:2" ht="12.9" x14ac:dyDescent="0.35">
      <c r="A2122" s="401">
        <v>41941</v>
      </c>
      <c r="B2122" s="403">
        <v>2.7727266145762598E+17</v>
      </c>
    </row>
    <row r="2123" spans="1:2" ht="12.9" x14ac:dyDescent="0.35">
      <c r="A2123" s="401">
        <v>41942</v>
      </c>
      <c r="B2123" s="403">
        <v>3.0410549966320301E+17</v>
      </c>
    </row>
    <row r="2124" spans="1:2" ht="12.9" x14ac:dyDescent="0.35">
      <c r="A2124" s="401">
        <v>41943</v>
      </c>
      <c r="B2124" s="403">
        <v>3.3630490550989498E+17</v>
      </c>
    </row>
    <row r="2125" spans="1:2" ht="12.9" x14ac:dyDescent="0.35">
      <c r="A2125" s="401">
        <v>41944</v>
      </c>
      <c r="B2125" s="403">
        <v>2.8442808497911299E+17</v>
      </c>
    </row>
    <row r="2126" spans="1:2" ht="12.9" x14ac:dyDescent="0.35">
      <c r="A2126" s="401">
        <v>41945</v>
      </c>
      <c r="B2126" s="403">
        <v>2.7727266145762598E+17</v>
      </c>
    </row>
    <row r="2127" spans="1:2" ht="12.9" x14ac:dyDescent="0.35">
      <c r="A2127" s="401">
        <v>41946</v>
      </c>
      <c r="B2127" s="403">
        <v>3.0231664378283098E+17</v>
      </c>
    </row>
    <row r="2128" spans="1:2" ht="12.9" x14ac:dyDescent="0.35">
      <c r="A2128" s="401">
        <v>41947</v>
      </c>
      <c r="B2128" s="403">
        <v>2.8979465262022899E+17</v>
      </c>
    </row>
    <row r="2129" spans="1:2" ht="12.9" x14ac:dyDescent="0.35">
      <c r="A2129" s="401">
        <v>41948</v>
      </c>
      <c r="B2129" s="403">
        <v>2.7168183202667901E+17</v>
      </c>
    </row>
    <row r="2130" spans="1:2" ht="12.9" x14ac:dyDescent="0.35">
      <c r="A2130" s="401">
        <v>41949</v>
      </c>
      <c r="B2130" s="403">
        <v>3.03181174870352E+17</v>
      </c>
    </row>
    <row r="2131" spans="1:2" ht="12.9" x14ac:dyDescent="0.35">
      <c r="A2131" s="401">
        <v>41950</v>
      </c>
      <c r="B2131" s="403">
        <v>2.9530633915943398E+17</v>
      </c>
    </row>
    <row r="2132" spans="1:2" ht="12.9" x14ac:dyDescent="0.35">
      <c r="A2132" s="401">
        <v>41951</v>
      </c>
      <c r="B2132" s="403">
        <v>3.0121246594262298E+17</v>
      </c>
    </row>
    <row r="2133" spans="1:2" ht="12.9" x14ac:dyDescent="0.35">
      <c r="A2133" s="401">
        <v>41952</v>
      </c>
      <c r="B2133" s="403">
        <v>2.9530633915943398E+17</v>
      </c>
    </row>
    <row r="2134" spans="1:2" ht="12.9" x14ac:dyDescent="0.35">
      <c r="A2134" s="401">
        <v>41953</v>
      </c>
      <c r="B2134" s="403">
        <v>2.8940021237624499E+17</v>
      </c>
    </row>
    <row r="2135" spans="1:2" ht="12.9" x14ac:dyDescent="0.35">
      <c r="A2135" s="401">
        <v>41954</v>
      </c>
      <c r="B2135" s="403">
        <v>2.5396345167711299E+17</v>
      </c>
    </row>
    <row r="2136" spans="1:2" ht="12.9" x14ac:dyDescent="0.35">
      <c r="A2136" s="401">
        <v>41955</v>
      </c>
      <c r="B2136" s="403">
        <v>2.8940021237624499E+17</v>
      </c>
    </row>
    <row r="2137" spans="1:2" ht="12.9" x14ac:dyDescent="0.35">
      <c r="A2137" s="401">
        <v>41956</v>
      </c>
      <c r="B2137" s="403">
        <v>2.8546279452078598E+17</v>
      </c>
    </row>
    <row r="2138" spans="1:2" ht="12.9" x14ac:dyDescent="0.35">
      <c r="A2138" s="401">
        <v>41957</v>
      </c>
      <c r="B2138" s="403">
        <v>3.03181174870352E+17</v>
      </c>
    </row>
    <row r="2139" spans="1:2" ht="12.9" x14ac:dyDescent="0.35">
      <c r="A2139" s="401">
        <v>41958</v>
      </c>
      <c r="B2139" s="403">
        <v>2.7561924988213798E+17</v>
      </c>
    </row>
    <row r="2140" spans="1:2" ht="12.9" x14ac:dyDescent="0.35">
      <c r="A2140" s="401">
        <v>41959</v>
      </c>
      <c r="B2140" s="403">
        <v>2.9530633915943398E+17</v>
      </c>
    </row>
    <row r="2141" spans="1:2" ht="12.9" x14ac:dyDescent="0.35">
      <c r="A2141" s="401">
        <v>41960</v>
      </c>
      <c r="B2141" s="403">
        <v>2.8349408559305699E+17</v>
      </c>
    </row>
    <row r="2142" spans="1:2" ht="12.9" x14ac:dyDescent="0.35">
      <c r="A2142" s="401">
        <v>41961</v>
      </c>
      <c r="B2142" s="403">
        <v>3.03181174870352E+17</v>
      </c>
    </row>
    <row r="2143" spans="1:2" ht="12.9" x14ac:dyDescent="0.35">
      <c r="A2143" s="401">
        <v>41962</v>
      </c>
      <c r="B2143" s="403">
        <v>2.8246887768912099E+17</v>
      </c>
    </row>
    <row r="2144" spans="1:2" ht="12.9" x14ac:dyDescent="0.35">
      <c r="A2144" s="401">
        <v>41963</v>
      </c>
      <c r="B2144" s="403">
        <v>2.76458901568076E+17</v>
      </c>
    </row>
    <row r="2145" spans="1:2" ht="12.9" x14ac:dyDescent="0.35">
      <c r="A2145" s="401">
        <v>41964</v>
      </c>
      <c r="B2145" s="403">
        <v>2.5442232245757699E+17</v>
      </c>
    </row>
    <row r="2146" spans="1:2" ht="12.9" x14ac:dyDescent="0.35">
      <c r="A2146" s="401">
        <v>41965</v>
      </c>
      <c r="B2146" s="403">
        <v>3.0851210754698298E+17</v>
      </c>
    </row>
    <row r="2147" spans="1:2" ht="12.9" x14ac:dyDescent="0.35">
      <c r="A2147" s="401">
        <v>41966</v>
      </c>
      <c r="B2147" s="403">
        <v>2.8447220306280301E+17</v>
      </c>
    </row>
    <row r="2148" spans="1:2" ht="12.9" x14ac:dyDescent="0.35">
      <c r="A2148" s="401">
        <v>41967</v>
      </c>
      <c r="B2148" s="403">
        <v>2.9448882993121101E+17</v>
      </c>
    </row>
    <row r="2149" spans="1:2" ht="12.9" x14ac:dyDescent="0.35">
      <c r="A2149" s="401">
        <v>41968</v>
      </c>
      <c r="B2149" s="403">
        <v>2.6443894932598598E+17</v>
      </c>
    </row>
    <row r="2150" spans="1:2" ht="12.9" x14ac:dyDescent="0.35">
      <c r="A2150" s="401">
        <v>41969</v>
      </c>
      <c r="B2150" s="403">
        <v>2.7445557619439398E+17</v>
      </c>
    </row>
    <row r="2151" spans="1:2" ht="12.9" x14ac:dyDescent="0.35">
      <c r="A2151" s="401">
        <v>41970</v>
      </c>
      <c r="B2151" s="403">
        <v>2.8246887768912099E+17</v>
      </c>
    </row>
    <row r="2152" spans="1:2" ht="12.9" x14ac:dyDescent="0.35">
      <c r="A2152" s="401">
        <v>41971</v>
      </c>
      <c r="B2152" s="403">
        <v>2.9649215530489299E+17</v>
      </c>
    </row>
    <row r="2153" spans="1:2" ht="12.9" x14ac:dyDescent="0.35">
      <c r="A2153" s="401">
        <v>41972</v>
      </c>
      <c r="B2153" s="403">
        <v>3.1452208366802803E+17</v>
      </c>
    </row>
    <row r="2154" spans="1:2" ht="12.9" x14ac:dyDescent="0.35">
      <c r="A2154" s="401">
        <v>41973</v>
      </c>
      <c r="B2154" s="403">
        <v>3.2053205978907398E+17</v>
      </c>
    </row>
    <row r="2155" spans="1:2" ht="12.9" x14ac:dyDescent="0.35">
      <c r="A2155" s="401">
        <v>41974</v>
      </c>
      <c r="B2155" s="403">
        <v>2.6043229857862202E+17</v>
      </c>
    </row>
    <row r="2156" spans="1:2" ht="12.9" x14ac:dyDescent="0.35">
      <c r="A2156" s="401">
        <v>41975</v>
      </c>
      <c r="B2156" s="403">
        <v>3.00498806052256E+17</v>
      </c>
    </row>
    <row r="2157" spans="1:2" ht="12.9" x14ac:dyDescent="0.35">
      <c r="A2157" s="401">
        <v>41976</v>
      </c>
      <c r="B2157" s="403">
        <v>2.3069872758857501E+17</v>
      </c>
    </row>
    <row r="2158" spans="1:2" ht="12.9" x14ac:dyDescent="0.35">
      <c r="A2158" s="401">
        <v>41977</v>
      </c>
      <c r="B2158" s="403">
        <v>2.9036219162010298E+17</v>
      </c>
    </row>
    <row r="2159" spans="1:2" ht="12.9" x14ac:dyDescent="0.35">
      <c r="A2159" s="401">
        <v>41978</v>
      </c>
      <c r="B2159" s="403">
        <v>3.1025001296394598E+17</v>
      </c>
    </row>
    <row r="2160" spans="1:2" ht="12.9" x14ac:dyDescent="0.35">
      <c r="A2160" s="401">
        <v>41979</v>
      </c>
      <c r="B2160" s="403">
        <v>2.7246315241064499E+17</v>
      </c>
    </row>
    <row r="2161" spans="1:2" ht="12.9" x14ac:dyDescent="0.35">
      <c r="A2161" s="401">
        <v>41980</v>
      </c>
      <c r="B2161" s="403">
        <v>2.5058654893241798E+17</v>
      </c>
    </row>
    <row r="2162" spans="1:2" ht="12.9" x14ac:dyDescent="0.35">
      <c r="A2162" s="401">
        <v>41981</v>
      </c>
      <c r="B2162" s="403">
        <v>3.2417148790463603E+17</v>
      </c>
    </row>
    <row r="2163" spans="1:2" ht="12.9" x14ac:dyDescent="0.35">
      <c r="A2163" s="401">
        <v>41982</v>
      </c>
      <c r="B2163" s="403">
        <v>2.8240706308256602E+17</v>
      </c>
    </row>
    <row r="2164" spans="1:2" ht="12.9" x14ac:dyDescent="0.35">
      <c r="A2164" s="401">
        <v>41983</v>
      </c>
      <c r="B2164" s="403">
        <v>2.8439584521695101E+17</v>
      </c>
    </row>
    <row r="2165" spans="1:2" ht="12.9" x14ac:dyDescent="0.35">
      <c r="A2165" s="401">
        <v>41984</v>
      </c>
      <c r="B2165" s="403">
        <v>2.94339755888872E+17</v>
      </c>
    </row>
    <row r="2166" spans="1:2" ht="12.9" x14ac:dyDescent="0.35">
      <c r="A2166" s="401">
        <v>41985</v>
      </c>
      <c r="B2166" s="403">
        <v>2.8041828094818202E+17</v>
      </c>
    </row>
    <row r="2167" spans="1:2" ht="12.9" x14ac:dyDescent="0.35">
      <c r="A2167" s="401">
        <v>41986</v>
      </c>
      <c r="B2167" s="403">
        <v>2.9036219162010298E+17</v>
      </c>
    </row>
    <row r="2168" spans="1:2" ht="12.9" x14ac:dyDescent="0.35">
      <c r="A2168" s="401">
        <v>41987</v>
      </c>
      <c r="B2168" s="403">
        <v>2.8041828094818202E+17</v>
      </c>
    </row>
    <row r="2169" spans="1:2" ht="12.9" x14ac:dyDescent="0.35">
      <c r="A2169" s="401">
        <v>41988</v>
      </c>
      <c r="B2169" s="403">
        <v>2.8041828094818202E+17</v>
      </c>
    </row>
    <row r="2170" spans="1:2" ht="12.9" x14ac:dyDescent="0.35">
      <c r="A2170" s="401">
        <v>41989</v>
      </c>
      <c r="B2170" s="403">
        <v>2.8439584521695101E+17</v>
      </c>
    </row>
    <row r="2171" spans="1:2" ht="12.9" x14ac:dyDescent="0.35">
      <c r="A2171" s="401">
        <v>41990</v>
      </c>
      <c r="B2171" s="403">
        <v>2.5106578939330301E+17</v>
      </c>
    </row>
    <row r="2172" spans="1:2" ht="12.9" x14ac:dyDescent="0.35">
      <c r="A2172" s="401">
        <v>41991</v>
      </c>
      <c r="B2172" s="403">
        <v>2.5302724087293798E+17</v>
      </c>
    </row>
    <row r="2173" spans="1:2" ht="12.9" x14ac:dyDescent="0.35">
      <c r="A2173" s="401">
        <v>41992</v>
      </c>
      <c r="B2173" s="403">
        <v>2.6871885271001901E+17</v>
      </c>
    </row>
    <row r="2174" spans="1:2" ht="12.9" x14ac:dyDescent="0.35">
      <c r="A2174" s="401">
        <v>41993</v>
      </c>
      <c r="B2174" s="403">
        <v>2.6283449827111398E+17</v>
      </c>
    </row>
    <row r="2175" spans="1:2" ht="12.9" x14ac:dyDescent="0.35">
      <c r="A2175" s="401">
        <v>41994</v>
      </c>
      <c r="B2175" s="403">
        <v>2.5891159531184301E+17</v>
      </c>
    </row>
    <row r="2176" spans="1:2" ht="12.9" x14ac:dyDescent="0.35">
      <c r="A2176" s="401">
        <v>41995</v>
      </c>
      <c r="B2176" s="403">
        <v>3.2167804266016902E+17</v>
      </c>
    </row>
    <row r="2177" spans="1:2" ht="12.9" x14ac:dyDescent="0.35">
      <c r="A2177" s="401">
        <v>41996</v>
      </c>
      <c r="B2177" s="403">
        <v>2.9421772194527699E+17</v>
      </c>
    </row>
    <row r="2178" spans="1:2" ht="12.9" x14ac:dyDescent="0.35">
      <c r="A2178" s="401">
        <v>41997</v>
      </c>
      <c r="B2178" s="403">
        <v>3.0010207638418202E+17</v>
      </c>
    </row>
    <row r="2179" spans="1:2" ht="12.9" x14ac:dyDescent="0.35">
      <c r="A2179" s="401">
        <v>41998</v>
      </c>
      <c r="B2179" s="403">
        <v>3.0990933378235802E+17</v>
      </c>
    </row>
    <row r="2180" spans="1:2" ht="12.9" x14ac:dyDescent="0.35">
      <c r="A2180" s="401">
        <v>41999</v>
      </c>
      <c r="B2180" s="403">
        <v>2.9814062490454701E+17</v>
      </c>
    </row>
    <row r="2181" spans="1:2" ht="12.9" x14ac:dyDescent="0.35">
      <c r="A2181" s="401">
        <v>42000</v>
      </c>
      <c r="B2181" s="403">
        <v>2.9814062490454701E+17</v>
      </c>
    </row>
    <row r="2182" spans="1:2" ht="12.9" x14ac:dyDescent="0.35">
      <c r="A2182" s="401">
        <v>42001</v>
      </c>
      <c r="B2182" s="403">
        <v>3.3148530005834502E+17</v>
      </c>
    </row>
    <row r="2183" spans="1:2" ht="12.9" x14ac:dyDescent="0.35">
      <c r="A2183" s="401">
        <v>42002</v>
      </c>
      <c r="B2183" s="403">
        <v>3.2167804266016902E+17</v>
      </c>
    </row>
    <row r="2184" spans="1:2" ht="12.9" x14ac:dyDescent="0.35">
      <c r="A2184" s="401">
        <v>42003</v>
      </c>
      <c r="B2184" s="403">
        <v>3.0402497934345299E+17</v>
      </c>
    </row>
    <row r="2185" spans="1:2" ht="12.9" x14ac:dyDescent="0.35">
      <c r="A2185" s="401">
        <v>42004</v>
      </c>
      <c r="B2185" s="403">
        <v>3.0708147044570502E+17</v>
      </c>
    </row>
    <row r="2186" spans="1:2" ht="12.9" x14ac:dyDescent="0.35">
      <c r="A2186" s="401">
        <v>42005</v>
      </c>
      <c r="B2186" s="403">
        <v>3.3334501726014003E+17</v>
      </c>
    </row>
    <row r="2187" spans="1:2" ht="12.9" x14ac:dyDescent="0.35">
      <c r="A2187" s="401">
        <v>42006</v>
      </c>
      <c r="B2187" s="403">
        <v>3.3334501726014003E+17</v>
      </c>
    </row>
    <row r="2188" spans="1:2" ht="12.9" x14ac:dyDescent="0.35">
      <c r="A2188" s="401">
        <v>42007</v>
      </c>
      <c r="B2188" s="403">
        <v>3.2728419876450099E+17</v>
      </c>
    </row>
    <row r="2189" spans="1:2" ht="12.9" x14ac:dyDescent="0.35">
      <c r="A2189" s="401">
        <v>42008</v>
      </c>
      <c r="B2189" s="403">
        <v>3.4748692708329798E+17</v>
      </c>
    </row>
    <row r="2190" spans="1:2" ht="12.9" x14ac:dyDescent="0.35">
      <c r="A2190" s="401">
        <v>42009</v>
      </c>
      <c r="B2190" s="403">
        <v>3.15162561773224E+17</v>
      </c>
    </row>
    <row r="2191" spans="1:2" ht="12.9" x14ac:dyDescent="0.35">
      <c r="A2191" s="401">
        <v>42010</v>
      </c>
      <c r="B2191" s="403">
        <v>3.1920310743698298E+17</v>
      </c>
    </row>
    <row r="2192" spans="1:2" ht="12.9" x14ac:dyDescent="0.35">
      <c r="A2192" s="401">
        <v>42011</v>
      </c>
      <c r="B2192" s="403">
        <v>2.8283819646314899E+17</v>
      </c>
    </row>
    <row r="2193" spans="1:2" ht="12.9" x14ac:dyDescent="0.35">
      <c r="A2193" s="401">
        <v>42012</v>
      </c>
      <c r="B2193" s="403">
        <v>2.9698010628630701E+17</v>
      </c>
    </row>
    <row r="2194" spans="1:2" ht="12.9" x14ac:dyDescent="0.35">
      <c r="A2194" s="401">
        <v>42013</v>
      </c>
      <c r="B2194" s="403">
        <v>2.8283819646314899E+17</v>
      </c>
    </row>
    <row r="2195" spans="1:2" ht="12.9" x14ac:dyDescent="0.35">
      <c r="A2195" s="401">
        <v>42014</v>
      </c>
      <c r="B2195" s="403">
        <v>2.9698010628630701E+17</v>
      </c>
    </row>
    <row r="2196" spans="1:2" ht="12.9" x14ac:dyDescent="0.35">
      <c r="A2196" s="401">
        <v>42015</v>
      </c>
      <c r="B2196" s="403">
        <v>3.13142288941344E+17</v>
      </c>
    </row>
    <row r="2197" spans="1:2" ht="12.9" x14ac:dyDescent="0.35">
      <c r="A2197" s="401">
        <v>42016</v>
      </c>
      <c r="B2197" s="403">
        <v>2.8687874212690899E+17</v>
      </c>
    </row>
    <row r="2198" spans="1:2" ht="12.9" x14ac:dyDescent="0.35">
      <c r="A2198" s="401">
        <v>42017</v>
      </c>
      <c r="B2198" s="403">
        <v>2.7760208346264E+17</v>
      </c>
    </row>
    <row r="2199" spans="1:2" ht="12.9" x14ac:dyDescent="0.35">
      <c r="A2199" s="401">
        <v>42018</v>
      </c>
      <c r="B2199" s="403">
        <v>3.1694726064632198E+17</v>
      </c>
    </row>
    <row r="2200" spans="1:2" ht="12.9" x14ac:dyDescent="0.35">
      <c r="A2200" s="401">
        <v>42019</v>
      </c>
      <c r="B2200" s="403">
        <v>3.3006231970754899E+17</v>
      </c>
    </row>
    <row r="2201" spans="1:2" ht="12.9" x14ac:dyDescent="0.35">
      <c r="A2201" s="401">
        <v>42020</v>
      </c>
      <c r="B2201" s="403">
        <v>3.0383220158509498E+17</v>
      </c>
    </row>
    <row r="2202" spans="1:2" ht="12.9" x14ac:dyDescent="0.35">
      <c r="A2202" s="401">
        <v>42021</v>
      </c>
      <c r="B2202" s="403">
        <v>3.0164635840822298E+17</v>
      </c>
    </row>
    <row r="2203" spans="1:2" ht="12.9" x14ac:dyDescent="0.35">
      <c r="A2203" s="401">
        <v>42022</v>
      </c>
      <c r="B2203" s="403">
        <v>3.3443400606129101E+17</v>
      </c>
    </row>
    <row r="2204" spans="1:2" ht="12.9" x14ac:dyDescent="0.35">
      <c r="A2204" s="401">
        <v>42023</v>
      </c>
      <c r="B2204" s="403">
        <v>3.1476141746945101E+17</v>
      </c>
    </row>
    <row r="2205" spans="1:2" ht="12.9" x14ac:dyDescent="0.35">
      <c r="A2205" s="401">
        <v>42024</v>
      </c>
      <c r="B2205" s="403">
        <v>2.579294948708E+17</v>
      </c>
    </row>
    <row r="2206" spans="1:2" ht="12.9" x14ac:dyDescent="0.35">
      <c r="A2206" s="401">
        <v>42025</v>
      </c>
      <c r="B2206" s="403">
        <v>3.2569063335380698E+17</v>
      </c>
    </row>
    <row r="2207" spans="1:2" ht="12.9" x14ac:dyDescent="0.35">
      <c r="A2207" s="401">
        <v>42026</v>
      </c>
      <c r="B2207" s="403">
        <v>2.9508882887760998E+17</v>
      </c>
    </row>
    <row r="2208" spans="1:2" ht="12.9" x14ac:dyDescent="0.35">
      <c r="A2208" s="401">
        <v>42027</v>
      </c>
      <c r="B2208" s="403">
        <v>2.7104455393202701E+17</v>
      </c>
    </row>
    <row r="2209" spans="1:2" ht="12.9" x14ac:dyDescent="0.35">
      <c r="A2209" s="401">
        <v>42028</v>
      </c>
      <c r="B2209" s="403">
        <v>2.7541624028576899E+17</v>
      </c>
    </row>
    <row r="2210" spans="1:2" ht="12.9" x14ac:dyDescent="0.35">
      <c r="A2210" s="401">
        <v>42029</v>
      </c>
      <c r="B2210" s="403">
        <v>2.7323039710889798E+17</v>
      </c>
    </row>
    <row r="2211" spans="1:2" ht="12.9" x14ac:dyDescent="0.35">
      <c r="A2211" s="401">
        <v>42030</v>
      </c>
      <c r="B2211" s="403">
        <v>2.7760208346264E+17</v>
      </c>
    </row>
    <row r="2212" spans="1:2" ht="12.9" x14ac:dyDescent="0.35">
      <c r="A2212" s="401">
        <v>42031</v>
      </c>
      <c r="B2212" s="403">
        <v>3.2569063335380698E+17</v>
      </c>
    </row>
    <row r="2213" spans="1:2" ht="12.9" x14ac:dyDescent="0.35">
      <c r="A2213" s="401">
        <v>42032</v>
      </c>
      <c r="B2213" s="403">
        <v>3.3647645310999398E+17</v>
      </c>
    </row>
    <row r="2214" spans="1:2" ht="12.9" x14ac:dyDescent="0.35">
      <c r="A2214" s="401">
        <v>42033</v>
      </c>
      <c r="B2214" s="403">
        <v>3.3647645310999398E+17</v>
      </c>
    </row>
    <row r="2215" spans="1:2" ht="12.9" x14ac:dyDescent="0.35">
      <c r="A2215" s="401">
        <v>42034</v>
      </c>
      <c r="B2215" s="403">
        <v>2.8313262517792198E+17</v>
      </c>
    </row>
    <row r="2216" spans="1:2" ht="12.9" x14ac:dyDescent="0.35">
      <c r="A2216" s="401">
        <v>42035</v>
      </c>
      <c r="B2216" s="403">
        <v>3.40579824489384E+17</v>
      </c>
    </row>
    <row r="2217" spans="1:2" ht="12.9" x14ac:dyDescent="0.35">
      <c r="A2217" s="401">
        <v>42036</v>
      </c>
      <c r="B2217" s="403">
        <v>3.1801128190273798E+17</v>
      </c>
    </row>
    <row r="2218" spans="1:2" ht="12.9" x14ac:dyDescent="0.35">
      <c r="A2218" s="401">
        <v>42037</v>
      </c>
      <c r="B2218" s="403">
        <v>3.2621802466151898E+17</v>
      </c>
    </row>
    <row r="2219" spans="1:2" ht="12.9" x14ac:dyDescent="0.35">
      <c r="A2219" s="401">
        <v>42038</v>
      </c>
      <c r="B2219" s="403">
        <v>2.60564082591276E+17</v>
      </c>
    </row>
    <row r="2220" spans="1:2" ht="12.9" x14ac:dyDescent="0.35">
      <c r="A2220" s="401">
        <v>42039</v>
      </c>
      <c r="B2220" s="403">
        <v>3.2621802466151898E+17</v>
      </c>
    </row>
    <row r="2221" spans="1:2" ht="12.9" x14ac:dyDescent="0.35">
      <c r="A2221" s="401">
        <v>42040</v>
      </c>
      <c r="B2221" s="403">
        <v>3.2621802466151898E+17</v>
      </c>
    </row>
    <row r="2222" spans="1:2" ht="12.9" x14ac:dyDescent="0.35">
      <c r="A2222" s="401">
        <v>42041</v>
      </c>
      <c r="B2222" s="403">
        <v>3.6314836707603002E+17</v>
      </c>
    </row>
    <row r="2223" spans="1:2" ht="12.9" x14ac:dyDescent="0.35">
      <c r="A2223" s="401">
        <v>42042</v>
      </c>
      <c r="B2223" s="403">
        <v>3.2621802466151898E+17</v>
      </c>
    </row>
    <row r="2224" spans="1:2" ht="12.9" x14ac:dyDescent="0.35">
      <c r="A2224" s="401">
        <v>42043</v>
      </c>
      <c r="B2224" s="403">
        <v>2.7082251103975101E+17</v>
      </c>
    </row>
    <row r="2225" spans="1:2" ht="12.9" x14ac:dyDescent="0.35">
      <c r="A2225" s="401">
        <v>42044</v>
      </c>
      <c r="B2225" s="403">
        <v>3.3032139604090899E+17</v>
      </c>
    </row>
    <row r="2226" spans="1:2" ht="12.9" x14ac:dyDescent="0.35">
      <c r="A2226" s="401">
        <v>42045</v>
      </c>
      <c r="B2226" s="403">
        <v>3.1822426281390598E+17</v>
      </c>
    </row>
    <row r="2227" spans="1:2" ht="12.9" x14ac:dyDescent="0.35">
      <c r="A2227" s="401">
        <v>42046</v>
      </c>
      <c r="B2227" s="403">
        <v>3.4916273280970202E+17</v>
      </c>
    </row>
    <row r="2228" spans="1:2" ht="12.9" x14ac:dyDescent="0.35">
      <c r="A2228" s="401">
        <v>42047</v>
      </c>
      <c r="B2228" s="403">
        <v>2.6297699496426899E+17</v>
      </c>
    </row>
    <row r="2229" spans="1:2" ht="12.9" x14ac:dyDescent="0.35">
      <c r="A2229" s="401">
        <v>42048</v>
      </c>
      <c r="B2229" s="403">
        <v>3.2264404424187699E+17</v>
      </c>
    </row>
    <row r="2230" spans="1:2" ht="12.9" x14ac:dyDescent="0.35">
      <c r="A2230" s="401">
        <v>42049</v>
      </c>
      <c r="B2230" s="403">
        <v>3.5358251423767302E+17</v>
      </c>
    </row>
    <row r="2231" spans="1:2" ht="12.9" x14ac:dyDescent="0.35">
      <c r="A2231" s="401">
        <v>42050</v>
      </c>
      <c r="B2231" s="403">
        <v>3.0938469995796403E+17</v>
      </c>
    </row>
    <row r="2232" spans="1:2" ht="12.9" x14ac:dyDescent="0.35">
      <c r="A2232" s="401">
        <v>42051</v>
      </c>
      <c r="B2232" s="403">
        <v>3.4695284209571699E+17</v>
      </c>
    </row>
    <row r="2233" spans="1:2" ht="12.9" x14ac:dyDescent="0.35">
      <c r="A2233" s="401">
        <v>42052</v>
      </c>
      <c r="B2233" s="403">
        <v>3.2927371638383302E+17</v>
      </c>
    </row>
    <row r="2234" spans="1:2" ht="12.9" x14ac:dyDescent="0.35">
      <c r="A2234" s="401">
        <v>42053</v>
      </c>
      <c r="B2234" s="403">
        <v>3.6905174923557197E+17</v>
      </c>
    </row>
    <row r="2235" spans="1:2" ht="12.9" x14ac:dyDescent="0.35">
      <c r="A2235" s="401">
        <v>42054</v>
      </c>
      <c r="B2235" s="403">
        <v>3.6684185852158598E+17</v>
      </c>
    </row>
    <row r="2236" spans="1:2" ht="12.9" x14ac:dyDescent="0.35">
      <c r="A2236" s="401">
        <v>42055</v>
      </c>
      <c r="B2236" s="403">
        <v>3.4916273280970202E+17</v>
      </c>
    </row>
    <row r="2237" spans="1:2" ht="12.9" x14ac:dyDescent="0.35">
      <c r="A2237" s="401">
        <v>42056</v>
      </c>
      <c r="B2237" s="403">
        <v>3.1380448138593498E+17</v>
      </c>
    </row>
    <row r="2238" spans="1:2" ht="12.9" x14ac:dyDescent="0.35">
      <c r="A2238" s="401">
        <v>42057</v>
      </c>
      <c r="B2238" s="403">
        <v>3.3369349781180403E+17</v>
      </c>
    </row>
    <row r="2239" spans="1:2" ht="12.9" x14ac:dyDescent="0.35">
      <c r="A2239" s="401">
        <v>42058</v>
      </c>
      <c r="B2239" s="403">
        <v>3.2953839665671302E+17</v>
      </c>
    </row>
    <row r="2240" spans="1:2" ht="12.9" x14ac:dyDescent="0.35">
      <c r="A2240" s="401">
        <v>42059</v>
      </c>
      <c r="B2240" s="403">
        <v>2.9936938851208397E+17</v>
      </c>
    </row>
    <row r="2241" spans="1:2" ht="12.9" x14ac:dyDescent="0.35">
      <c r="A2241" s="401">
        <v>42060</v>
      </c>
      <c r="B2241" s="403">
        <v>3.6899017653815002E+17</v>
      </c>
    </row>
    <row r="2242" spans="1:2" ht="12.9" x14ac:dyDescent="0.35">
      <c r="A2242" s="401">
        <v>42061</v>
      </c>
      <c r="B2242" s="403">
        <v>3.4810394013032998E+17</v>
      </c>
    </row>
    <row r="2243" spans="1:2" ht="12.9" x14ac:dyDescent="0.35">
      <c r="A2243" s="401">
        <v>42062</v>
      </c>
      <c r="B2243" s="403">
        <v>3.5274532599873498E+17</v>
      </c>
    </row>
    <row r="2244" spans="1:2" ht="12.9" x14ac:dyDescent="0.35">
      <c r="A2244" s="401">
        <v>42063</v>
      </c>
      <c r="B2244" s="403">
        <v>3.2953839665671302E+17</v>
      </c>
    </row>
    <row r="2245" spans="1:2" ht="12.9" x14ac:dyDescent="0.35">
      <c r="A2245" s="401">
        <v>42064</v>
      </c>
      <c r="B2245" s="403">
        <v>3.2489701078830797E+17</v>
      </c>
    </row>
    <row r="2246" spans="1:2" ht="12.9" x14ac:dyDescent="0.35">
      <c r="A2246" s="401">
        <v>42065</v>
      </c>
      <c r="B2246" s="403">
        <v>3.6666948360394803E+17</v>
      </c>
    </row>
    <row r="2247" spans="1:2" ht="12.9" x14ac:dyDescent="0.35">
      <c r="A2247" s="401">
        <v>42066</v>
      </c>
      <c r="B2247" s="403">
        <v>3.6666948360394803E+17</v>
      </c>
    </row>
    <row r="2248" spans="1:2" ht="12.9" x14ac:dyDescent="0.35">
      <c r="A2248" s="401">
        <v>42067</v>
      </c>
      <c r="B2248" s="403">
        <v>3.2489701078830797E+17</v>
      </c>
    </row>
    <row r="2249" spans="1:2" ht="12.9" x14ac:dyDescent="0.35">
      <c r="A2249" s="401">
        <v>42068</v>
      </c>
      <c r="B2249" s="403">
        <v>3.0633146731469101E+17</v>
      </c>
    </row>
    <row r="2250" spans="1:2" ht="12.9" x14ac:dyDescent="0.35">
      <c r="A2250" s="401">
        <v>42069</v>
      </c>
      <c r="B2250" s="403">
        <v>3.4346255426192602E+17</v>
      </c>
    </row>
    <row r="2251" spans="1:2" ht="12.9" x14ac:dyDescent="0.35">
      <c r="A2251" s="401">
        <v>42070</v>
      </c>
      <c r="B2251" s="403">
        <v>3.2489701078830797E+17</v>
      </c>
    </row>
    <row r="2252" spans="1:2" ht="12.9" x14ac:dyDescent="0.35">
      <c r="A2252" s="401">
        <v>42071</v>
      </c>
      <c r="B2252" s="403">
        <v>3.62028097735544E+17</v>
      </c>
    </row>
    <row r="2253" spans="1:2" ht="12.9" x14ac:dyDescent="0.35">
      <c r="A2253" s="401">
        <v>42072</v>
      </c>
      <c r="B2253" s="403">
        <v>3.3949966240379302E+17</v>
      </c>
    </row>
    <row r="2254" spans="1:2" ht="12.9" x14ac:dyDescent="0.35">
      <c r="A2254" s="401">
        <v>42073</v>
      </c>
      <c r="B2254" s="403">
        <v>3.5836075475955898E+17</v>
      </c>
    </row>
    <row r="2255" spans="1:2" ht="12.9" x14ac:dyDescent="0.35">
      <c r="A2255" s="401">
        <v>42074</v>
      </c>
      <c r="B2255" s="403">
        <v>3.6307602784850099E+17</v>
      </c>
    </row>
    <row r="2256" spans="1:2" ht="12.9" x14ac:dyDescent="0.35">
      <c r="A2256" s="401">
        <v>42075</v>
      </c>
      <c r="B2256" s="403">
        <v>3.0885038732567302E+17</v>
      </c>
    </row>
    <row r="2257" spans="1:2" ht="12.9" x14ac:dyDescent="0.35">
      <c r="A2257" s="401">
        <v>42076</v>
      </c>
      <c r="B2257" s="403">
        <v>3.4421493549273498E+17</v>
      </c>
    </row>
    <row r="2258" spans="1:2" ht="12.9" x14ac:dyDescent="0.35">
      <c r="A2258" s="401">
        <v>42077</v>
      </c>
      <c r="B2258" s="403">
        <v>3.0885038732567302E+17</v>
      </c>
    </row>
    <row r="2259" spans="1:2" ht="12.9" x14ac:dyDescent="0.35">
      <c r="A2259" s="401">
        <v>42078</v>
      </c>
      <c r="B2259" s="403">
        <v>3.3714202585932198E+17</v>
      </c>
    </row>
    <row r="2260" spans="1:2" ht="12.9" x14ac:dyDescent="0.35">
      <c r="A2260" s="401">
        <v>42079</v>
      </c>
      <c r="B2260" s="403">
        <v>3.2771147968143898E+17</v>
      </c>
    </row>
    <row r="2261" spans="1:2" ht="12.9" x14ac:dyDescent="0.35">
      <c r="A2261" s="401">
        <v>42080</v>
      </c>
      <c r="B2261" s="403">
        <v>3.0177747769225997E+17</v>
      </c>
    </row>
    <row r="2262" spans="1:2" ht="12.9" x14ac:dyDescent="0.35">
      <c r="A2262" s="401">
        <v>42081</v>
      </c>
      <c r="B2262" s="403">
        <v>3.6071839130403002E+17</v>
      </c>
    </row>
    <row r="2263" spans="1:2" ht="12.9" x14ac:dyDescent="0.35">
      <c r="A2263" s="401">
        <v>42082</v>
      </c>
      <c r="B2263" s="403">
        <v>3.2299620659249702E+17</v>
      </c>
    </row>
    <row r="2264" spans="1:2" ht="12.9" x14ac:dyDescent="0.35">
      <c r="A2264" s="401">
        <v>42083</v>
      </c>
      <c r="B2264" s="403">
        <v>3.2063857004802701E+17</v>
      </c>
    </row>
    <row r="2265" spans="1:2" ht="12.9" x14ac:dyDescent="0.35">
      <c r="A2265" s="401">
        <v>42084</v>
      </c>
      <c r="B2265" s="403">
        <v>3.56003118215088E+17</v>
      </c>
    </row>
    <row r="2266" spans="1:2" ht="12.9" x14ac:dyDescent="0.35">
      <c r="A2266" s="401">
        <v>42085</v>
      </c>
      <c r="B2266" s="403">
        <v>3.3478438931485101E+17</v>
      </c>
    </row>
    <row r="2267" spans="1:2" ht="12.9" x14ac:dyDescent="0.35">
      <c r="A2267" s="401">
        <v>42086</v>
      </c>
      <c r="B2267" s="403">
        <v>3.3673958844472102E+17</v>
      </c>
    </row>
    <row r="2268" spans="1:2" ht="12.9" x14ac:dyDescent="0.35">
      <c r="A2268" s="401">
        <v>42087</v>
      </c>
      <c r="B2268" s="403">
        <v>4.01765164144392E+17</v>
      </c>
    </row>
    <row r="2269" spans="1:2" ht="12.9" x14ac:dyDescent="0.35">
      <c r="A2269" s="401">
        <v>42088</v>
      </c>
      <c r="B2269" s="403">
        <v>3.7621940226237798E+17</v>
      </c>
    </row>
    <row r="2270" spans="1:2" ht="12.9" x14ac:dyDescent="0.35">
      <c r="A2270" s="401">
        <v>42089</v>
      </c>
      <c r="B2270" s="403">
        <v>3.4370661441254298E+17</v>
      </c>
    </row>
    <row r="2271" spans="1:2" ht="12.9" x14ac:dyDescent="0.35">
      <c r="A2271" s="401">
        <v>42090</v>
      </c>
      <c r="B2271" s="403">
        <v>3.9712048016584397E+17</v>
      </c>
    </row>
    <row r="2272" spans="1:2" ht="12.9" x14ac:dyDescent="0.35">
      <c r="A2272" s="401">
        <v>42091</v>
      </c>
      <c r="B2272" s="403">
        <v>3.4370661441254298E+17</v>
      </c>
    </row>
    <row r="2273" spans="1:2" ht="12.9" x14ac:dyDescent="0.35">
      <c r="A2273" s="401">
        <v>42092</v>
      </c>
      <c r="B2273" s="403">
        <v>3.5531832435891302E+17</v>
      </c>
    </row>
    <row r="2274" spans="1:2" ht="12.9" x14ac:dyDescent="0.35">
      <c r="A2274" s="401">
        <v>42093</v>
      </c>
      <c r="B2274" s="403">
        <v>3.2977256247689997E+17</v>
      </c>
    </row>
    <row r="2275" spans="1:2" ht="12.9" x14ac:dyDescent="0.35">
      <c r="A2275" s="401">
        <v>42094</v>
      </c>
      <c r="B2275" s="403">
        <v>3.4835129839109101E+17</v>
      </c>
    </row>
    <row r="2276" spans="1:2" ht="12.9" x14ac:dyDescent="0.35">
      <c r="A2276" s="401">
        <v>42095</v>
      </c>
      <c r="B2276" s="403">
        <v>3.0654914258416E+17</v>
      </c>
    </row>
    <row r="2277" spans="1:2" ht="12.9" x14ac:dyDescent="0.35">
      <c r="A2277" s="401">
        <v>42096</v>
      </c>
      <c r="B2277" s="403">
        <v>3.8550877021947398E+17</v>
      </c>
    </row>
    <row r="2278" spans="1:2" ht="12.9" x14ac:dyDescent="0.35">
      <c r="A2278" s="401">
        <v>42097</v>
      </c>
      <c r="B2278" s="403">
        <v>3.3906193043399501E+17</v>
      </c>
    </row>
    <row r="2279" spans="1:2" ht="12.9" x14ac:dyDescent="0.35">
      <c r="A2279" s="401">
        <v>42098</v>
      </c>
      <c r="B2279" s="403">
        <v>3.5531832435891302E+17</v>
      </c>
    </row>
    <row r="2280" spans="1:2" ht="12.9" x14ac:dyDescent="0.35">
      <c r="A2280" s="401">
        <v>42099</v>
      </c>
      <c r="B2280" s="403">
        <v>3.6378302517202099E+17</v>
      </c>
    </row>
    <row r="2281" spans="1:2" ht="12.9" x14ac:dyDescent="0.35">
      <c r="A2281" s="401">
        <v>42100</v>
      </c>
      <c r="B2281" s="403">
        <v>3.0970717007888198E+17</v>
      </c>
    </row>
    <row r="2282" spans="1:2" ht="12.9" x14ac:dyDescent="0.35">
      <c r="A2282" s="401">
        <v>42101</v>
      </c>
      <c r="B2282" s="403">
        <v>3.7361499882531898E+17</v>
      </c>
    </row>
    <row r="2283" spans="1:2" ht="12.9" x14ac:dyDescent="0.35">
      <c r="A2283" s="401">
        <v>42102</v>
      </c>
      <c r="B2283" s="403">
        <v>3.0724917666555802E+17</v>
      </c>
    </row>
    <row r="2284" spans="1:2" ht="12.9" x14ac:dyDescent="0.35">
      <c r="A2284" s="401">
        <v>42103</v>
      </c>
      <c r="B2284" s="403">
        <v>3.2691312397215398E+17</v>
      </c>
    </row>
    <row r="2285" spans="1:2" ht="12.9" x14ac:dyDescent="0.35">
      <c r="A2285" s="401">
        <v>42104</v>
      </c>
      <c r="B2285" s="403">
        <v>3.7361499882531898E+17</v>
      </c>
    </row>
    <row r="2286" spans="1:2" ht="12.9" x14ac:dyDescent="0.35">
      <c r="A2286" s="401">
        <v>42105</v>
      </c>
      <c r="B2286" s="403">
        <v>3.4411907786542502E+17</v>
      </c>
    </row>
    <row r="2287" spans="1:2" ht="12.9" x14ac:dyDescent="0.35">
      <c r="A2287" s="401">
        <v>42106</v>
      </c>
      <c r="B2287" s="403">
        <v>3.1462315690553101E+17</v>
      </c>
    </row>
    <row r="2288" spans="1:2" ht="12.9" x14ac:dyDescent="0.35">
      <c r="A2288" s="401">
        <v>42107</v>
      </c>
      <c r="B2288" s="403">
        <v>3.8344697247861702E+17</v>
      </c>
    </row>
    <row r="2289" spans="1:2" ht="12.9" x14ac:dyDescent="0.35">
      <c r="A2289" s="401">
        <v>42108</v>
      </c>
      <c r="B2289" s="403">
        <v>3.6624101858534502E+17</v>
      </c>
    </row>
    <row r="2290" spans="1:2" ht="12.9" x14ac:dyDescent="0.35">
      <c r="A2290" s="401">
        <v>42109</v>
      </c>
      <c r="B2290" s="403">
        <v>2.9987519642558502E+17</v>
      </c>
    </row>
    <row r="2291" spans="1:2" ht="12.9" x14ac:dyDescent="0.35">
      <c r="A2291" s="401">
        <v>42110</v>
      </c>
      <c r="B2291" s="403">
        <v>3.39203091038776E+17</v>
      </c>
    </row>
    <row r="2292" spans="1:2" ht="12.9" x14ac:dyDescent="0.35">
      <c r="A2292" s="401">
        <v>42111</v>
      </c>
      <c r="B2292" s="403">
        <v>3.0970717007888198E+17</v>
      </c>
    </row>
    <row r="2293" spans="1:2" ht="12.9" x14ac:dyDescent="0.35">
      <c r="A2293" s="401">
        <v>42112</v>
      </c>
      <c r="B2293" s="403">
        <v>3.5886703834537203E+17</v>
      </c>
    </row>
    <row r="2294" spans="1:2" ht="12.9" x14ac:dyDescent="0.35">
      <c r="A2294" s="401">
        <v>42113</v>
      </c>
      <c r="B2294" s="403">
        <v>3.5640904493204698E+17</v>
      </c>
    </row>
    <row r="2295" spans="1:2" ht="12.9" x14ac:dyDescent="0.35">
      <c r="A2295" s="401">
        <v>42114</v>
      </c>
      <c r="B2295" s="403">
        <v>3.6447703587426202E+17</v>
      </c>
    </row>
    <row r="2296" spans="1:2" ht="12.9" x14ac:dyDescent="0.35">
      <c r="A2296" s="401">
        <v>42115</v>
      </c>
      <c r="B2296" s="403">
        <v>3.6211030187507802E+17</v>
      </c>
    </row>
    <row r="2297" spans="1:2" ht="12.9" x14ac:dyDescent="0.35">
      <c r="A2297" s="401">
        <v>42116</v>
      </c>
      <c r="B2297" s="403">
        <v>3.5974356787589498E+17</v>
      </c>
    </row>
    <row r="2298" spans="1:2" ht="12.9" x14ac:dyDescent="0.35">
      <c r="A2298" s="401">
        <v>42117</v>
      </c>
      <c r="B2298" s="403">
        <v>3.0767541989385702E+17</v>
      </c>
    </row>
    <row r="2299" spans="1:2" ht="12.9" x14ac:dyDescent="0.35">
      <c r="A2299" s="401">
        <v>42118</v>
      </c>
      <c r="B2299" s="403">
        <v>2.9347501589875597E+17</v>
      </c>
    </row>
    <row r="2300" spans="1:2" ht="12.9" x14ac:dyDescent="0.35">
      <c r="A2300" s="401">
        <v>42119</v>
      </c>
      <c r="B2300" s="403">
        <v>3.8577764186691302E+17</v>
      </c>
    </row>
    <row r="2301" spans="1:2" ht="12.9" x14ac:dyDescent="0.35">
      <c r="A2301" s="401">
        <v>42120</v>
      </c>
      <c r="B2301" s="403">
        <v>3.4080969588242598E+17</v>
      </c>
    </row>
    <row r="2302" spans="1:2" ht="12.9" x14ac:dyDescent="0.35">
      <c r="A2302" s="401">
        <v>42121</v>
      </c>
      <c r="B2302" s="403">
        <v>3.2424255788814202E+17</v>
      </c>
    </row>
    <row r="2303" spans="1:2" ht="12.9" x14ac:dyDescent="0.35">
      <c r="A2303" s="401">
        <v>42122</v>
      </c>
      <c r="B2303" s="403">
        <v>3.6211030187507802E+17</v>
      </c>
    </row>
    <row r="2304" spans="1:2" ht="12.9" x14ac:dyDescent="0.35">
      <c r="A2304" s="401">
        <v>42123</v>
      </c>
      <c r="B2304" s="403">
        <v>3.0057521789630701E+17</v>
      </c>
    </row>
    <row r="2305" spans="1:2" ht="12.9" x14ac:dyDescent="0.35">
      <c r="A2305" s="401">
        <v>42124</v>
      </c>
      <c r="B2305" s="403">
        <v>3.1714235589059098E+17</v>
      </c>
    </row>
    <row r="2306" spans="1:2" ht="12.9" x14ac:dyDescent="0.35">
      <c r="A2306" s="401">
        <v>42125</v>
      </c>
      <c r="B2306" s="403">
        <v>3.5027663187916E+17</v>
      </c>
    </row>
    <row r="2307" spans="1:2" ht="12.9" x14ac:dyDescent="0.35">
      <c r="A2307" s="401">
        <v>42126</v>
      </c>
      <c r="B2307" s="403">
        <v>3.4790989787997702E+17</v>
      </c>
    </row>
    <row r="2308" spans="1:2" ht="12.9" x14ac:dyDescent="0.35">
      <c r="A2308" s="401">
        <v>42127</v>
      </c>
      <c r="B2308" s="403">
        <v>3.3370949388487603E+17</v>
      </c>
    </row>
    <row r="2309" spans="1:2" ht="12.9" x14ac:dyDescent="0.35">
      <c r="A2309" s="401">
        <v>42128</v>
      </c>
      <c r="B2309" s="403">
        <v>3.0315086867670298E+17</v>
      </c>
    </row>
    <row r="2310" spans="1:2" ht="12.9" x14ac:dyDescent="0.35">
      <c r="A2310" s="401">
        <v>42129</v>
      </c>
      <c r="B2310" s="403">
        <v>3.6472838887665901E+17</v>
      </c>
    </row>
    <row r="2311" spans="1:2" ht="12.9" x14ac:dyDescent="0.35">
      <c r="A2311" s="401">
        <v>42130</v>
      </c>
      <c r="B2311" s="403">
        <v>3.81306952007416E+17</v>
      </c>
    </row>
    <row r="2312" spans="1:2" ht="12.9" x14ac:dyDescent="0.35">
      <c r="A2312" s="401">
        <v>42131</v>
      </c>
      <c r="B2312" s="403">
        <v>3.3393962877668102E+17</v>
      </c>
    </row>
    <row r="2313" spans="1:2" ht="12.9" x14ac:dyDescent="0.35">
      <c r="A2313" s="401">
        <v>42132</v>
      </c>
      <c r="B2313" s="403">
        <v>3.55254924230512E+17</v>
      </c>
    </row>
    <row r="2314" spans="1:2" ht="12.9" x14ac:dyDescent="0.35">
      <c r="A2314" s="401">
        <v>42133</v>
      </c>
      <c r="B2314" s="403">
        <v>3.0551923483824E+17</v>
      </c>
    </row>
    <row r="2315" spans="1:2" ht="12.9" x14ac:dyDescent="0.35">
      <c r="A2315" s="401">
        <v>42134</v>
      </c>
      <c r="B2315" s="403">
        <v>3.0551923483824E+17</v>
      </c>
    </row>
    <row r="2316" spans="1:2" ht="12.9" x14ac:dyDescent="0.35">
      <c r="A2316" s="401">
        <v>42135</v>
      </c>
      <c r="B2316" s="403">
        <v>3.7420185352280602E+17</v>
      </c>
    </row>
    <row r="2317" spans="1:2" ht="12.9" x14ac:dyDescent="0.35">
      <c r="A2317" s="401">
        <v>42136</v>
      </c>
      <c r="B2317" s="403">
        <v>3.55254924230512E+17</v>
      </c>
    </row>
    <row r="2318" spans="1:2" ht="12.9" x14ac:dyDescent="0.35">
      <c r="A2318" s="401">
        <v>42137</v>
      </c>
      <c r="B2318" s="403">
        <v>3.8367531816895302E+17</v>
      </c>
    </row>
    <row r="2319" spans="1:2" ht="12.9" x14ac:dyDescent="0.35">
      <c r="A2319" s="401">
        <v>42138</v>
      </c>
      <c r="B2319" s="403">
        <v>3.6472838887665901E+17</v>
      </c>
    </row>
    <row r="2320" spans="1:2" ht="12.9" x14ac:dyDescent="0.35">
      <c r="A2320" s="401">
        <v>42139</v>
      </c>
      <c r="B2320" s="403">
        <v>3.4814982574590202E+17</v>
      </c>
    </row>
    <row r="2321" spans="1:2" ht="12.9" x14ac:dyDescent="0.35">
      <c r="A2321" s="401">
        <v>42140</v>
      </c>
      <c r="B2321" s="403">
        <v>3.1262433332284998E+17</v>
      </c>
    </row>
    <row r="2322" spans="1:2" ht="12.9" x14ac:dyDescent="0.35">
      <c r="A2322" s="401">
        <v>42141</v>
      </c>
      <c r="B2322" s="403">
        <v>4.14885903000104E+17</v>
      </c>
    </row>
    <row r="2323" spans="1:2" ht="12.9" x14ac:dyDescent="0.35">
      <c r="A2323" s="401">
        <v>42142</v>
      </c>
      <c r="B2323" s="403">
        <v>3.4937760252640301E+17</v>
      </c>
    </row>
    <row r="2324" spans="1:2" ht="12.9" x14ac:dyDescent="0.35">
      <c r="A2324" s="401">
        <v>42143</v>
      </c>
      <c r="B2324" s="403">
        <v>3.1541033561411398E+17</v>
      </c>
    </row>
    <row r="2325" spans="1:2" ht="12.9" x14ac:dyDescent="0.35">
      <c r="A2325" s="401">
        <v>42144</v>
      </c>
      <c r="B2325" s="403">
        <v>3.5180383587728102E+17</v>
      </c>
    </row>
    <row r="2326" spans="1:2" ht="12.9" x14ac:dyDescent="0.35">
      <c r="A2326" s="401">
        <v>42145</v>
      </c>
      <c r="B2326" s="403">
        <v>3.7606616938605901E+17</v>
      </c>
    </row>
    <row r="2327" spans="1:2" ht="12.9" x14ac:dyDescent="0.35">
      <c r="A2327" s="401">
        <v>42146</v>
      </c>
      <c r="B2327" s="403">
        <v>3.34820202421136E+17</v>
      </c>
    </row>
    <row r="2328" spans="1:2" ht="12.9" x14ac:dyDescent="0.35">
      <c r="A2328" s="401">
        <v>42147</v>
      </c>
      <c r="B2328" s="403">
        <v>2.7173813529831299E+17</v>
      </c>
    </row>
    <row r="2329" spans="1:2" ht="12.9" x14ac:dyDescent="0.35">
      <c r="A2329" s="401">
        <v>42148</v>
      </c>
      <c r="B2329" s="403">
        <v>3.5423006922815898E+17</v>
      </c>
    </row>
    <row r="2330" spans="1:2" ht="12.9" x14ac:dyDescent="0.35">
      <c r="A2330" s="401">
        <v>42149</v>
      </c>
      <c r="B2330" s="403">
        <v>3.4209890247376998E+17</v>
      </c>
    </row>
    <row r="2331" spans="1:2" ht="12.9" x14ac:dyDescent="0.35">
      <c r="A2331" s="401">
        <v>42150</v>
      </c>
      <c r="B2331" s="403">
        <v>3.4937760252640301E+17</v>
      </c>
    </row>
    <row r="2332" spans="1:2" ht="12.9" x14ac:dyDescent="0.35">
      <c r="A2332" s="401">
        <v>42151</v>
      </c>
      <c r="B2332" s="403">
        <v>3.34820202421136E+17</v>
      </c>
    </row>
    <row r="2333" spans="1:2" ht="12.9" x14ac:dyDescent="0.35">
      <c r="A2333" s="401">
        <v>42152</v>
      </c>
      <c r="B2333" s="403">
        <v>3.2026280231586899E+17</v>
      </c>
    </row>
    <row r="2334" spans="1:2" ht="12.9" x14ac:dyDescent="0.35">
      <c r="A2334" s="401">
        <v>42153</v>
      </c>
      <c r="B2334" s="403">
        <v>3.7363993603518099E+17</v>
      </c>
    </row>
    <row r="2335" spans="1:2" ht="12.9" x14ac:dyDescent="0.35">
      <c r="A2335" s="401">
        <v>42154</v>
      </c>
      <c r="B2335" s="403">
        <v>3.2996773571938099E+17</v>
      </c>
    </row>
    <row r="2336" spans="1:2" ht="12.9" x14ac:dyDescent="0.35">
      <c r="A2336" s="401">
        <v>42155</v>
      </c>
      <c r="B2336" s="403">
        <v>3.5908253592991398E+17</v>
      </c>
    </row>
    <row r="2337" spans="1:2" ht="12.9" x14ac:dyDescent="0.35">
      <c r="A2337" s="401">
        <v>42156</v>
      </c>
      <c r="B2337" s="403">
        <v>3.1227126583099002E+17</v>
      </c>
    </row>
    <row r="2338" spans="1:2" ht="12.9" x14ac:dyDescent="0.35">
      <c r="A2338" s="401">
        <v>42157</v>
      </c>
      <c r="B2338" s="403">
        <v>3.5485371117158003E+17</v>
      </c>
    </row>
    <row r="2339" spans="1:2" ht="12.9" x14ac:dyDescent="0.35">
      <c r="A2339" s="401">
        <v>42158</v>
      </c>
      <c r="B2339" s="403">
        <v>3.35928179909096E+17</v>
      </c>
    </row>
    <row r="2340" spans="1:2" ht="12.9" x14ac:dyDescent="0.35">
      <c r="A2340" s="401">
        <v>42159</v>
      </c>
      <c r="B2340" s="403">
        <v>3.3356248850128499E+17</v>
      </c>
    </row>
    <row r="2341" spans="1:2" ht="12.9" x14ac:dyDescent="0.35">
      <c r="A2341" s="401">
        <v>42160</v>
      </c>
      <c r="B2341" s="403">
        <v>3.2646541427785299E+17</v>
      </c>
    </row>
    <row r="2342" spans="1:2" ht="12.9" x14ac:dyDescent="0.35">
      <c r="A2342" s="401">
        <v>42161</v>
      </c>
      <c r="B2342" s="403">
        <v>4.2109307059027501E+17</v>
      </c>
    </row>
    <row r="2343" spans="1:2" ht="12.9" x14ac:dyDescent="0.35">
      <c r="A2343" s="401">
        <v>42162</v>
      </c>
      <c r="B2343" s="403">
        <v>3.5248801976376902E+17</v>
      </c>
    </row>
    <row r="2344" spans="1:2" ht="12.9" x14ac:dyDescent="0.35">
      <c r="A2344" s="401">
        <v>42163</v>
      </c>
      <c r="B2344" s="403">
        <v>3.7141355102625402E+17</v>
      </c>
    </row>
    <row r="2345" spans="1:2" ht="12.9" x14ac:dyDescent="0.35">
      <c r="A2345" s="401">
        <v>42164</v>
      </c>
      <c r="B2345" s="403">
        <v>3.5721940257939002E+17</v>
      </c>
    </row>
    <row r="2346" spans="1:2" ht="12.9" x14ac:dyDescent="0.35">
      <c r="A2346" s="401">
        <v>42165</v>
      </c>
      <c r="B2346" s="403">
        <v>3.9980184791998003E+17</v>
      </c>
    </row>
    <row r="2347" spans="1:2" ht="12.9" x14ac:dyDescent="0.35">
      <c r="A2347" s="401">
        <v>42166</v>
      </c>
      <c r="B2347" s="403">
        <v>3.1936834005442202E+17</v>
      </c>
    </row>
    <row r="2348" spans="1:2" ht="12.9" x14ac:dyDescent="0.35">
      <c r="A2348" s="401">
        <v>42167</v>
      </c>
      <c r="B2348" s="403">
        <v>3.35928179909096E+17</v>
      </c>
    </row>
    <row r="2349" spans="1:2" ht="12.9" x14ac:dyDescent="0.35">
      <c r="A2349" s="401">
        <v>42168</v>
      </c>
      <c r="B2349" s="403">
        <v>3.7614493384187501E+17</v>
      </c>
    </row>
    <row r="2350" spans="1:2" ht="12.9" x14ac:dyDescent="0.35">
      <c r="A2350" s="401">
        <v>42169</v>
      </c>
      <c r="B2350" s="403">
        <v>3.6559284478774298E+17</v>
      </c>
    </row>
    <row r="2351" spans="1:2" ht="12.9" x14ac:dyDescent="0.35">
      <c r="A2351" s="401">
        <v>42170</v>
      </c>
      <c r="B2351" s="403">
        <v>3.5571195709077702E+17</v>
      </c>
    </row>
    <row r="2352" spans="1:2" ht="12.9" x14ac:dyDescent="0.35">
      <c r="A2352" s="401">
        <v>42171</v>
      </c>
      <c r="B2352" s="403">
        <v>2.9148618706049798E+17</v>
      </c>
    </row>
    <row r="2353" spans="1:2" ht="12.9" x14ac:dyDescent="0.35">
      <c r="A2353" s="401">
        <v>42172</v>
      </c>
      <c r="B2353" s="403">
        <v>3.9029506403015802E+17</v>
      </c>
    </row>
    <row r="2354" spans="1:2" ht="12.9" x14ac:dyDescent="0.35">
      <c r="A2354" s="401">
        <v>42173</v>
      </c>
      <c r="B2354" s="403">
        <v>3.8535462018167501E+17</v>
      </c>
    </row>
    <row r="2355" spans="1:2" ht="12.9" x14ac:dyDescent="0.35">
      <c r="A2355" s="401">
        <v>42174</v>
      </c>
      <c r="B2355" s="403">
        <v>3.6312262286350099E+17</v>
      </c>
    </row>
    <row r="2356" spans="1:2" ht="12.9" x14ac:dyDescent="0.35">
      <c r="A2356" s="401">
        <v>42175</v>
      </c>
      <c r="B2356" s="403">
        <v>3.3100973784836198E+17</v>
      </c>
    </row>
    <row r="2357" spans="1:2" ht="12.9" x14ac:dyDescent="0.35">
      <c r="A2357" s="401">
        <v>42176</v>
      </c>
      <c r="B2357" s="403">
        <v>3.0630751860594701E+17</v>
      </c>
    </row>
    <row r="2358" spans="1:2" ht="12.9" x14ac:dyDescent="0.35">
      <c r="A2358" s="401">
        <v>42177</v>
      </c>
      <c r="B2358" s="403">
        <v>3.7794395440895002E+17</v>
      </c>
    </row>
    <row r="2359" spans="1:2" ht="12.9" x14ac:dyDescent="0.35">
      <c r="A2359" s="401">
        <v>42178</v>
      </c>
      <c r="B2359" s="403">
        <v>3.4583106939381101E+17</v>
      </c>
    </row>
    <row r="2360" spans="1:2" ht="12.9" x14ac:dyDescent="0.35">
      <c r="A2360" s="401">
        <v>42179</v>
      </c>
      <c r="B2360" s="403">
        <v>3.8535462018167501E+17</v>
      </c>
    </row>
    <row r="2361" spans="1:2" ht="12.9" x14ac:dyDescent="0.35">
      <c r="A2361" s="401">
        <v>42180</v>
      </c>
      <c r="B2361" s="403">
        <v>3.7547373248470899E+17</v>
      </c>
    </row>
    <row r="2362" spans="1:2" ht="12.9" x14ac:dyDescent="0.35">
      <c r="A2362" s="401">
        <v>42181</v>
      </c>
      <c r="B2362" s="403">
        <v>3.80414176333192E+17</v>
      </c>
    </row>
    <row r="2363" spans="1:2" ht="12.9" x14ac:dyDescent="0.35">
      <c r="A2363" s="401">
        <v>42182</v>
      </c>
      <c r="B2363" s="403">
        <v>3.1865862822715398E+17</v>
      </c>
    </row>
    <row r="2364" spans="1:2" ht="12.9" x14ac:dyDescent="0.35">
      <c r="A2364" s="401">
        <v>42183</v>
      </c>
      <c r="B2364" s="403">
        <v>3.4626603502943699E+17</v>
      </c>
    </row>
    <row r="2365" spans="1:2" ht="12.9" x14ac:dyDescent="0.35">
      <c r="A2365" s="401">
        <v>42184</v>
      </c>
      <c r="B2365" s="403">
        <v>3.4381024754695898E+17</v>
      </c>
    </row>
    <row r="2366" spans="1:2" ht="12.9" x14ac:dyDescent="0.35">
      <c r="A2366" s="401">
        <v>42185</v>
      </c>
      <c r="B2366" s="403">
        <v>3.5608918495935098E+17</v>
      </c>
    </row>
    <row r="2367" spans="1:2" ht="12.9" x14ac:dyDescent="0.35">
      <c r="A2367" s="401">
        <v>42186</v>
      </c>
      <c r="B2367" s="403">
        <v>3.31531310134568E+17</v>
      </c>
    </row>
    <row r="2368" spans="1:2" ht="12.9" x14ac:dyDescent="0.35">
      <c r="A2368" s="401">
        <v>42187</v>
      </c>
      <c r="B2368" s="403">
        <v>3.7819127230165498E+17</v>
      </c>
    </row>
    <row r="2369" spans="1:2" ht="12.9" x14ac:dyDescent="0.35">
      <c r="A2369" s="401">
        <v>42188</v>
      </c>
      <c r="B2369" s="403">
        <v>3.9538178467900301E+17</v>
      </c>
    </row>
    <row r="2370" spans="1:2" ht="12.9" x14ac:dyDescent="0.35">
      <c r="A2370" s="401">
        <v>42189</v>
      </c>
      <c r="B2370" s="403">
        <v>3.7327969733669901E+17</v>
      </c>
    </row>
    <row r="2371" spans="1:2" ht="12.9" x14ac:dyDescent="0.35">
      <c r="A2371" s="401">
        <v>42190</v>
      </c>
      <c r="B2371" s="403">
        <v>3.4872182251191603E+17</v>
      </c>
    </row>
    <row r="2372" spans="1:2" ht="12.9" x14ac:dyDescent="0.35">
      <c r="A2372" s="401">
        <v>42191</v>
      </c>
      <c r="B2372" s="403">
        <v>4.4449753432856902E+17</v>
      </c>
    </row>
    <row r="2373" spans="1:2" ht="12.9" x14ac:dyDescent="0.35">
      <c r="A2373" s="401">
        <v>42192</v>
      </c>
      <c r="B2373" s="403">
        <v>3.2907552265208902E+17</v>
      </c>
    </row>
    <row r="2374" spans="1:2" ht="12.9" x14ac:dyDescent="0.35">
      <c r="A2374" s="401">
        <v>42193</v>
      </c>
      <c r="B2374" s="403">
        <v>3.9538178467900301E+17</v>
      </c>
    </row>
    <row r="2375" spans="1:2" ht="12.9" x14ac:dyDescent="0.35">
      <c r="A2375" s="401">
        <v>42194</v>
      </c>
      <c r="B2375" s="403">
        <v>3.2661973516961101E+17</v>
      </c>
    </row>
    <row r="2376" spans="1:2" ht="12.9" x14ac:dyDescent="0.35">
      <c r="A2376" s="401">
        <v>42195</v>
      </c>
      <c r="B2376" s="403">
        <v>3.7819127230165498E+17</v>
      </c>
    </row>
    <row r="2377" spans="1:2" ht="12.9" x14ac:dyDescent="0.35">
      <c r="A2377" s="401">
        <v>42196</v>
      </c>
      <c r="B2377" s="403">
        <v>3.6345654740678502E+17</v>
      </c>
    </row>
    <row r="2378" spans="1:2" ht="12.9" x14ac:dyDescent="0.35">
      <c r="A2378" s="401">
        <v>42197</v>
      </c>
      <c r="B2378" s="403">
        <v>3.4276769198745498E+17</v>
      </c>
    </row>
    <row r="2379" spans="1:2" ht="12.9" x14ac:dyDescent="0.35">
      <c r="A2379" s="401">
        <v>42198</v>
      </c>
      <c r="B2379" s="403">
        <v>3.7577495121587699E+17</v>
      </c>
    </row>
    <row r="2380" spans="1:2" ht="12.9" x14ac:dyDescent="0.35">
      <c r="A2380" s="401">
        <v>42199</v>
      </c>
      <c r="B2380" s="403">
        <v>3.6561887145328602E+17</v>
      </c>
    </row>
    <row r="2381" spans="1:2" ht="12.9" x14ac:dyDescent="0.35">
      <c r="A2381" s="401">
        <v>42200</v>
      </c>
      <c r="B2381" s="403">
        <v>3.8847005091911603E+17</v>
      </c>
    </row>
    <row r="2382" spans="1:2" ht="12.9" x14ac:dyDescent="0.35">
      <c r="A2382" s="401">
        <v>42201</v>
      </c>
      <c r="B2382" s="403">
        <v>3.4022867204680698E+17</v>
      </c>
    </row>
    <row r="2383" spans="1:2" ht="12.9" x14ac:dyDescent="0.35">
      <c r="A2383" s="401">
        <v>42202</v>
      </c>
      <c r="B2383" s="403">
        <v>3.7323593127522899E+17</v>
      </c>
    </row>
    <row r="2384" spans="1:2" ht="12.9" x14ac:dyDescent="0.35">
      <c r="A2384" s="401">
        <v>42203</v>
      </c>
      <c r="B2384" s="403">
        <v>3.7831397115652499E+17</v>
      </c>
    </row>
    <row r="2385" spans="1:2" ht="12.9" x14ac:dyDescent="0.35">
      <c r="A2385" s="401">
        <v>42204</v>
      </c>
      <c r="B2385" s="403">
        <v>3.8593103097846797E+17</v>
      </c>
    </row>
    <row r="2386" spans="1:2" ht="12.9" x14ac:dyDescent="0.35">
      <c r="A2386" s="401">
        <v>42205</v>
      </c>
      <c r="B2386" s="403">
        <v>3.9608711074105901E+17</v>
      </c>
    </row>
    <row r="2387" spans="1:2" ht="12.9" x14ac:dyDescent="0.35">
      <c r="A2387" s="401">
        <v>42206</v>
      </c>
      <c r="B2387" s="403">
        <v>3.2245553246227302E+17</v>
      </c>
    </row>
    <row r="2388" spans="1:2" ht="12.9" x14ac:dyDescent="0.35">
      <c r="A2388" s="401">
        <v>42207</v>
      </c>
      <c r="B2388" s="403">
        <v>3.9100907085976397E+17</v>
      </c>
    </row>
    <row r="2389" spans="1:2" ht="12.9" x14ac:dyDescent="0.35">
      <c r="A2389" s="401">
        <v>42208</v>
      </c>
      <c r="B2389" s="403">
        <v>3.5546279169069402E+17</v>
      </c>
    </row>
    <row r="2390" spans="1:2" ht="12.9" x14ac:dyDescent="0.35">
      <c r="A2390" s="401">
        <v>42209</v>
      </c>
      <c r="B2390" s="403">
        <v>4.2909436996948102E+17</v>
      </c>
    </row>
    <row r="2391" spans="1:2" ht="12.9" x14ac:dyDescent="0.35">
      <c r="A2391" s="401">
        <v>42210</v>
      </c>
      <c r="B2391" s="403">
        <v>3.9100907085976397E+17</v>
      </c>
    </row>
    <row r="2392" spans="1:2" ht="12.9" x14ac:dyDescent="0.35">
      <c r="A2392" s="401">
        <v>42211</v>
      </c>
      <c r="B2392" s="403">
        <v>3.7422268267022598E+17</v>
      </c>
    </row>
    <row r="2393" spans="1:2" ht="12.9" x14ac:dyDescent="0.35">
      <c r="A2393" s="401">
        <v>42212</v>
      </c>
      <c r="B2393" s="403">
        <v>3.8721652581849798E+17</v>
      </c>
    </row>
    <row r="2394" spans="1:2" ht="12.9" x14ac:dyDescent="0.35">
      <c r="A2394" s="401">
        <v>42213</v>
      </c>
      <c r="B2394" s="403">
        <v>3.5343253363299098E+17</v>
      </c>
    </row>
    <row r="2395" spans="1:2" ht="12.9" x14ac:dyDescent="0.35">
      <c r="A2395" s="401">
        <v>42214</v>
      </c>
      <c r="B2395" s="403">
        <v>3.9501283170746099E+17</v>
      </c>
    </row>
    <row r="2396" spans="1:2" ht="12.9" x14ac:dyDescent="0.35">
      <c r="A2396" s="401">
        <v>42215</v>
      </c>
      <c r="B2396" s="403">
        <v>3.4823499637368301E+17</v>
      </c>
    </row>
    <row r="2397" spans="1:2" ht="12.9" x14ac:dyDescent="0.35">
      <c r="A2397" s="401">
        <v>42216</v>
      </c>
      <c r="B2397" s="403">
        <v>3.9241406307780698E+17</v>
      </c>
    </row>
    <row r="2398" spans="1:2" ht="12.9" x14ac:dyDescent="0.35">
      <c r="A2398" s="401">
        <v>42217</v>
      </c>
      <c r="B2398" s="403">
        <v>4.02809137596424E+17</v>
      </c>
    </row>
    <row r="2399" spans="1:2" ht="12.9" x14ac:dyDescent="0.35">
      <c r="A2399" s="401">
        <v>42218</v>
      </c>
      <c r="B2399" s="403">
        <v>3.9241406307780698E+17</v>
      </c>
    </row>
    <row r="2400" spans="1:2" ht="12.9" x14ac:dyDescent="0.35">
      <c r="A2400" s="401">
        <v>42219</v>
      </c>
      <c r="B2400" s="403">
        <v>4.0800667485573299E+17</v>
      </c>
    </row>
    <row r="2401" spans="1:2" ht="12.9" x14ac:dyDescent="0.35">
      <c r="A2401" s="401">
        <v>42220</v>
      </c>
      <c r="B2401" s="403">
        <v>3.5343253363299098E+17</v>
      </c>
    </row>
    <row r="2402" spans="1:2" ht="12.9" x14ac:dyDescent="0.35">
      <c r="A2402" s="401">
        <v>42221</v>
      </c>
      <c r="B2402" s="403">
        <v>3.4563622774402803E+17</v>
      </c>
    </row>
    <row r="2403" spans="1:2" ht="12.9" x14ac:dyDescent="0.35">
      <c r="A2403" s="401">
        <v>42222</v>
      </c>
      <c r="B2403" s="403">
        <v>3.7162391404057203E+17</v>
      </c>
    </row>
    <row r="2404" spans="1:2" ht="12.9" x14ac:dyDescent="0.35">
      <c r="A2404" s="401">
        <v>42223</v>
      </c>
      <c r="B2404" s="403">
        <v>3.5603130226264602E+17</v>
      </c>
    </row>
    <row r="2405" spans="1:2" ht="12.9" x14ac:dyDescent="0.35">
      <c r="A2405" s="401">
        <v>42224</v>
      </c>
      <c r="B2405" s="403">
        <v>4.2177546347282803E+17</v>
      </c>
    </row>
    <row r="2406" spans="1:2" ht="12.9" x14ac:dyDescent="0.35">
      <c r="A2406" s="401">
        <v>42225</v>
      </c>
      <c r="B2406" s="403">
        <v>3.7200071933628301E+17</v>
      </c>
    </row>
    <row r="2407" spans="1:2" ht="12.9" x14ac:dyDescent="0.35">
      <c r="A2407" s="401">
        <v>42226</v>
      </c>
      <c r="B2407" s="403">
        <v>4.3749380372647398E+17</v>
      </c>
    </row>
    <row r="2408" spans="1:2" ht="12.9" x14ac:dyDescent="0.35">
      <c r="A2408" s="401">
        <v>42227</v>
      </c>
      <c r="B2408" s="403">
        <v>4.2439518684843597E+17</v>
      </c>
    </row>
    <row r="2409" spans="1:2" ht="12.9" x14ac:dyDescent="0.35">
      <c r="A2409" s="401">
        <v>42228</v>
      </c>
      <c r="B2409" s="403">
        <v>3.3008514532656102E+17</v>
      </c>
    </row>
    <row r="2410" spans="1:2" ht="12.9" x14ac:dyDescent="0.35">
      <c r="A2410" s="401">
        <v>42229</v>
      </c>
      <c r="B2410" s="403">
        <v>3.8509933621432102E+17</v>
      </c>
    </row>
    <row r="2411" spans="1:2" ht="12.9" x14ac:dyDescent="0.35">
      <c r="A2411" s="401">
        <v>42230</v>
      </c>
      <c r="B2411" s="403">
        <v>3.7200071933628301E+17</v>
      </c>
    </row>
    <row r="2412" spans="1:2" ht="12.9" x14ac:dyDescent="0.35">
      <c r="A2412" s="401">
        <v>42231</v>
      </c>
      <c r="B2412" s="403">
        <v>3.5890210245824499E+17</v>
      </c>
    </row>
    <row r="2413" spans="1:2" ht="12.9" x14ac:dyDescent="0.35">
      <c r="A2413" s="401">
        <v>42232</v>
      </c>
      <c r="B2413" s="403">
        <v>3.6152182583385203E+17</v>
      </c>
    </row>
    <row r="2414" spans="1:2" ht="12.9" x14ac:dyDescent="0.35">
      <c r="A2414" s="401">
        <v>42233</v>
      </c>
      <c r="B2414" s="403">
        <v>3.8509933621432102E+17</v>
      </c>
    </row>
    <row r="2415" spans="1:2" ht="12.9" x14ac:dyDescent="0.35">
      <c r="A2415" s="401">
        <v>42234</v>
      </c>
      <c r="B2415" s="403">
        <v>3.6938099596067501E+17</v>
      </c>
    </row>
    <row r="2416" spans="1:2" ht="12.9" x14ac:dyDescent="0.35">
      <c r="A2416" s="401">
        <v>42235</v>
      </c>
      <c r="B2416" s="403">
        <v>4.0867684659479002E+17</v>
      </c>
    </row>
    <row r="2417" spans="1:2" ht="12.9" x14ac:dyDescent="0.35">
      <c r="A2417" s="401">
        <v>42236</v>
      </c>
      <c r="B2417" s="403">
        <v>3.92958506341144E+17</v>
      </c>
    </row>
    <row r="2418" spans="1:2" ht="12.9" x14ac:dyDescent="0.35">
      <c r="A2418" s="401">
        <v>42237</v>
      </c>
      <c r="B2418" s="403">
        <v>4.3225435697525798E+17</v>
      </c>
    </row>
    <row r="2419" spans="1:2" ht="12.9" x14ac:dyDescent="0.35">
      <c r="A2419" s="401">
        <v>42238</v>
      </c>
      <c r="B2419" s="403">
        <v>4.2614365220153901E+17</v>
      </c>
    </row>
    <row r="2420" spans="1:2" ht="12.9" x14ac:dyDescent="0.35">
      <c r="A2420" s="401">
        <v>42239</v>
      </c>
      <c r="B2420" s="403">
        <v>3.6141297085447002E+17</v>
      </c>
    </row>
    <row r="2421" spans="1:2" ht="12.9" x14ac:dyDescent="0.35">
      <c r="A2421" s="401">
        <v>42240</v>
      </c>
      <c r="B2421" s="403">
        <v>4.1805231703315501E+17</v>
      </c>
    </row>
    <row r="2422" spans="1:2" ht="12.9" x14ac:dyDescent="0.35">
      <c r="A2422" s="401">
        <v>42241</v>
      </c>
      <c r="B2422" s="403">
        <v>3.64110082577264E+17</v>
      </c>
    </row>
    <row r="2423" spans="1:2" ht="12.9" x14ac:dyDescent="0.35">
      <c r="A2423" s="401">
        <v>42242</v>
      </c>
      <c r="B2423" s="403">
        <v>4.3423498736992198E+17</v>
      </c>
    </row>
    <row r="2424" spans="1:2" ht="12.9" x14ac:dyDescent="0.35">
      <c r="A2424" s="401">
        <v>42243</v>
      </c>
      <c r="B2424" s="403">
        <v>3.6950430602285299E+17</v>
      </c>
    </row>
    <row r="2425" spans="1:2" ht="12.9" x14ac:dyDescent="0.35">
      <c r="A2425" s="401">
        <v>42244</v>
      </c>
      <c r="B2425" s="403">
        <v>4.1805231703315501E+17</v>
      </c>
    </row>
    <row r="2426" spans="1:2" ht="12.9" x14ac:dyDescent="0.35">
      <c r="A2426" s="401">
        <v>42245</v>
      </c>
      <c r="B2426" s="403">
        <v>4.31537875647128E+17</v>
      </c>
    </row>
    <row r="2427" spans="1:2" ht="12.9" x14ac:dyDescent="0.35">
      <c r="A2427" s="401">
        <v>42246</v>
      </c>
      <c r="B2427" s="403">
        <v>4.0456675841918202E+17</v>
      </c>
    </row>
    <row r="2428" spans="1:2" ht="12.9" x14ac:dyDescent="0.35">
      <c r="A2428" s="401">
        <v>42247</v>
      </c>
      <c r="B2428" s="403">
        <v>4.23446540478744E+17</v>
      </c>
    </row>
    <row r="2429" spans="1:2" ht="12.9" x14ac:dyDescent="0.35">
      <c r="A2429" s="401">
        <v>42248</v>
      </c>
      <c r="B2429" s="403">
        <v>4.1535520531036102E+17</v>
      </c>
    </row>
    <row r="2430" spans="1:2" ht="12.9" x14ac:dyDescent="0.35">
      <c r="A2430" s="401">
        <v>42249</v>
      </c>
      <c r="B2430" s="403">
        <v>4.31537875647128E+17</v>
      </c>
    </row>
    <row r="2431" spans="1:2" ht="12.9" x14ac:dyDescent="0.35">
      <c r="A2431" s="401">
        <v>42250</v>
      </c>
      <c r="B2431" s="403">
        <v>3.9377831152800397E+17</v>
      </c>
    </row>
    <row r="2432" spans="1:2" ht="12.9" x14ac:dyDescent="0.35">
      <c r="A2432" s="401">
        <v>42251</v>
      </c>
      <c r="B2432" s="403">
        <v>4.4169528969823898E+17</v>
      </c>
    </row>
    <row r="2433" spans="1:2" ht="12.9" x14ac:dyDescent="0.35">
      <c r="A2433" s="401">
        <v>42252</v>
      </c>
      <c r="B2433" s="403">
        <v>4.1621286913872602E+17</v>
      </c>
    </row>
    <row r="2434" spans="1:2" ht="12.9" x14ac:dyDescent="0.35">
      <c r="A2434" s="401">
        <v>42253</v>
      </c>
      <c r="B2434" s="403">
        <v>4.0771872895222099E+17</v>
      </c>
    </row>
    <row r="2435" spans="1:2" ht="12.9" x14ac:dyDescent="0.35">
      <c r="A2435" s="401">
        <v>42254</v>
      </c>
      <c r="B2435" s="403">
        <v>4.3036976944956698E+17</v>
      </c>
    </row>
    <row r="2436" spans="1:2" ht="12.9" x14ac:dyDescent="0.35">
      <c r="A2436" s="401">
        <v>42255</v>
      </c>
      <c r="B2436" s="403">
        <v>3.8506768845487501E+17</v>
      </c>
    </row>
    <row r="2437" spans="1:2" ht="12.9" x14ac:dyDescent="0.35">
      <c r="A2437" s="401">
        <v>42256</v>
      </c>
      <c r="B2437" s="403">
        <v>4.2187562926306202E+17</v>
      </c>
    </row>
    <row r="2438" spans="1:2" ht="12.9" x14ac:dyDescent="0.35">
      <c r="A2438" s="401">
        <v>42257</v>
      </c>
      <c r="B2438" s="403">
        <v>4.8416599063076301E+17</v>
      </c>
    </row>
    <row r="2439" spans="1:2" ht="12.9" x14ac:dyDescent="0.35">
      <c r="A2439" s="401">
        <v>42258</v>
      </c>
      <c r="B2439" s="403">
        <v>4.47358049822576E+17</v>
      </c>
    </row>
    <row r="2440" spans="1:2" ht="12.9" x14ac:dyDescent="0.35">
      <c r="A2440" s="401">
        <v>42259</v>
      </c>
      <c r="B2440" s="403">
        <v>3.8223630839270701E+17</v>
      </c>
    </row>
    <row r="2441" spans="1:2" ht="12.9" x14ac:dyDescent="0.35">
      <c r="A2441" s="401">
        <v>42260</v>
      </c>
      <c r="B2441" s="403">
        <v>4.2753838938739802E+17</v>
      </c>
    </row>
    <row r="2442" spans="1:2" ht="12.9" x14ac:dyDescent="0.35">
      <c r="A2442" s="401">
        <v>42261</v>
      </c>
      <c r="B2442" s="403">
        <v>4.3036976944956698E+17</v>
      </c>
    </row>
    <row r="2443" spans="1:2" ht="12.9" x14ac:dyDescent="0.35">
      <c r="A2443" s="401">
        <v>42262</v>
      </c>
      <c r="B2443" s="403">
        <v>4.53020809946912E+17</v>
      </c>
    </row>
    <row r="2444" spans="1:2" ht="12.9" x14ac:dyDescent="0.35">
      <c r="A2444" s="401">
        <v>42263</v>
      </c>
      <c r="B2444" s="403">
        <v>4.0205596882788499E+17</v>
      </c>
    </row>
    <row r="2445" spans="1:2" ht="12.9" x14ac:dyDescent="0.35">
      <c r="A2445" s="401">
        <v>42264</v>
      </c>
      <c r="B2445" s="403">
        <v>4.0771872895222099E+17</v>
      </c>
    </row>
    <row r="2446" spans="1:2" ht="12.9" x14ac:dyDescent="0.35">
      <c r="A2446" s="401">
        <v>42265</v>
      </c>
      <c r="B2446" s="403">
        <v>4.33587717335432E+17</v>
      </c>
    </row>
    <row r="2447" spans="1:2" ht="12.9" x14ac:dyDescent="0.35">
      <c r="A2447" s="401">
        <v>42266</v>
      </c>
      <c r="B2447" s="403">
        <v>3.6869703855053798E+17</v>
      </c>
    </row>
    <row r="2448" spans="1:2" ht="12.9" x14ac:dyDescent="0.35">
      <c r="A2448" s="401">
        <v>42267</v>
      </c>
      <c r="B2448" s="403">
        <v>3.7754576747575098E+17</v>
      </c>
    </row>
    <row r="2449" spans="1:2" ht="12.9" x14ac:dyDescent="0.35">
      <c r="A2449" s="401">
        <v>42268</v>
      </c>
      <c r="B2449" s="403">
        <v>3.89344072709368E+17</v>
      </c>
    </row>
    <row r="2450" spans="1:2" ht="12.9" x14ac:dyDescent="0.35">
      <c r="A2450" s="401">
        <v>42269</v>
      </c>
      <c r="B2450" s="403">
        <v>4.6308348041947597E+17</v>
      </c>
    </row>
    <row r="2451" spans="1:2" ht="12.9" x14ac:dyDescent="0.35">
      <c r="A2451" s="401">
        <v>42270</v>
      </c>
      <c r="B2451" s="403">
        <v>4.6603305672788E+17</v>
      </c>
    </row>
    <row r="2452" spans="1:2" ht="12.9" x14ac:dyDescent="0.35">
      <c r="A2452" s="401">
        <v>42271</v>
      </c>
      <c r="B2452" s="403">
        <v>4.1294068317660198E+17</v>
      </c>
    </row>
    <row r="2453" spans="1:2" ht="12.9" x14ac:dyDescent="0.35">
      <c r="A2453" s="401">
        <v>42272</v>
      </c>
      <c r="B2453" s="403">
        <v>4.8373051457830598E+17</v>
      </c>
    </row>
    <row r="2454" spans="1:2" ht="12.9" x14ac:dyDescent="0.35">
      <c r="A2454" s="401">
        <v>42273</v>
      </c>
      <c r="B2454" s="403">
        <v>4.33587717335432E+17</v>
      </c>
    </row>
    <row r="2455" spans="1:2" ht="12.9" x14ac:dyDescent="0.35">
      <c r="A2455" s="401">
        <v>42274</v>
      </c>
      <c r="B2455" s="403">
        <v>4.3948686995224102E+17</v>
      </c>
    </row>
    <row r="2456" spans="1:2" ht="12.9" x14ac:dyDescent="0.35">
      <c r="A2456" s="401">
        <v>42275</v>
      </c>
      <c r="B2456" s="403">
        <v>4.2178941210181498E+17</v>
      </c>
    </row>
    <row r="2457" spans="1:2" ht="12.9" x14ac:dyDescent="0.35">
      <c r="A2457" s="401">
        <v>42276</v>
      </c>
      <c r="B2457" s="403">
        <v>5.1322627766234899E+17</v>
      </c>
    </row>
    <row r="2458" spans="1:2" ht="12.9" x14ac:dyDescent="0.35">
      <c r="A2458" s="401">
        <v>42277</v>
      </c>
      <c r="B2458" s="403">
        <v>4.3653729364383699E+17</v>
      </c>
    </row>
    <row r="2459" spans="1:2" ht="12.9" x14ac:dyDescent="0.35">
      <c r="A2459" s="401">
        <v>42278</v>
      </c>
      <c r="B2459" s="403">
        <v>4.3948686995224102E+17</v>
      </c>
    </row>
    <row r="2460" spans="1:2" ht="12.9" x14ac:dyDescent="0.35">
      <c r="A2460" s="401">
        <v>42279</v>
      </c>
      <c r="B2460" s="403">
        <v>4.1717976343857299E+17</v>
      </c>
    </row>
    <row r="2461" spans="1:2" ht="12.9" x14ac:dyDescent="0.35">
      <c r="A2461" s="401">
        <v>42280</v>
      </c>
      <c r="B2461" s="403">
        <v>4.3834105578690701E+17</v>
      </c>
    </row>
    <row r="2462" spans="1:2" ht="12.9" x14ac:dyDescent="0.35">
      <c r="A2462" s="401">
        <v>42281</v>
      </c>
      <c r="B2462" s="403">
        <v>4.62525389899288E+17</v>
      </c>
    </row>
    <row r="2463" spans="1:2" ht="12.9" x14ac:dyDescent="0.35">
      <c r="A2463" s="401">
        <v>42282</v>
      </c>
      <c r="B2463" s="403">
        <v>4.62525389899288E+17</v>
      </c>
    </row>
    <row r="2464" spans="1:2" ht="12.9" x14ac:dyDescent="0.35">
      <c r="A2464" s="401">
        <v>42283</v>
      </c>
      <c r="B2464" s="403">
        <v>4.2927193049476403E+17</v>
      </c>
    </row>
    <row r="2465" spans="1:2" ht="12.9" x14ac:dyDescent="0.35">
      <c r="A2465" s="401">
        <v>42284</v>
      </c>
      <c r="B2465" s="403">
        <v>4.0206455461833498E+17</v>
      </c>
    </row>
    <row r="2466" spans="1:2" ht="12.9" x14ac:dyDescent="0.35">
      <c r="A2466" s="401">
        <v>42285</v>
      </c>
      <c r="B2466" s="403">
        <v>4.2322584696666899E+17</v>
      </c>
    </row>
    <row r="2467" spans="1:2" ht="12.9" x14ac:dyDescent="0.35">
      <c r="A2467" s="401">
        <v>42286</v>
      </c>
      <c r="B2467" s="403">
        <v>3.8090326227000198E+17</v>
      </c>
    </row>
    <row r="2468" spans="1:2" ht="12.9" x14ac:dyDescent="0.35">
      <c r="A2468" s="401">
        <v>42287</v>
      </c>
      <c r="B2468" s="403">
        <v>4.8368668224762099E+17</v>
      </c>
    </row>
    <row r="2469" spans="1:2" ht="12.9" x14ac:dyDescent="0.35">
      <c r="A2469" s="401">
        <v>42288</v>
      </c>
      <c r="B2469" s="403">
        <v>4.4136409755095501E+17</v>
      </c>
    </row>
    <row r="2470" spans="1:2" ht="12.9" x14ac:dyDescent="0.35">
      <c r="A2470" s="401">
        <v>42289</v>
      </c>
      <c r="B2470" s="403">
        <v>4.2927193049476403E+17</v>
      </c>
    </row>
    <row r="2471" spans="1:2" ht="12.9" x14ac:dyDescent="0.35">
      <c r="A2471" s="401">
        <v>42290</v>
      </c>
      <c r="B2471" s="403">
        <v>4.1415672167452602E+17</v>
      </c>
    </row>
    <row r="2472" spans="1:2" ht="12.9" x14ac:dyDescent="0.35">
      <c r="A2472" s="401">
        <v>42291</v>
      </c>
      <c r="B2472" s="403">
        <v>4.5950234813524E+17</v>
      </c>
    </row>
    <row r="2473" spans="1:2" ht="12.9" x14ac:dyDescent="0.35">
      <c r="A2473" s="401">
        <v>42292</v>
      </c>
      <c r="B2473" s="403">
        <v>5.0240752919603098E+17</v>
      </c>
    </row>
    <row r="2474" spans="1:2" ht="12.9" x14ac:dyDescent="0.35">
      <c r="A2474" s="401">
        <v>42293</v>
      </c>
      <c r="B2474" s="403">
        <v>4.3582339882065402E+17</v>
      </c>
    </row>
    <row r="2475" spans="1:2" ht="12.9" x14ac:dyDescent="0.35">
      <c r="A2475" s="401">
        <v>42294</v>
      </c>
      <c r="B2475" s="403">
        <v>4.1161098777506202E+17</v>
      </c>
    </row>
    <row r="2476" spans="1:2" ht="12.9" x14ac:dyDescent="0.35">
      <c r="A2476" s="401">
        <v>42295</v>
      </c>
      <c r="B2476" s="403">
        <v>4.3884995020135302E+17</v>
      </c>
    </row>
    <row r="2477" spans="1:2" ht="12.9" x14ac:dyDescent="0.35">
      <c r="A2477" s="401">
        <v>42296</v>
      </c>
      <c r="B2477" s="403">
        <v>4.9938097781533197E+17</v>
      </c>
    </row>
    <row r="2478" spans="1:2" ht="12.9" x14ac:dyDescent="0.35">
      <c r="A2478" s="401">
        <v>42297</v>
      </c>
      <c r="B2478" s="403">
        <v>3.8739857672947002E+17</v>
      </c>
    </row>
    <row r="2479" spans="1:2" ht="12.9" x14ac:dyDescent="0.35">
      <c r="A2479" s="401">
        <v>42298</v>
      </c>
      <c r="B2479" s="403">
        <v>4.3582339882065402E+17</v>
      </c>
    </row>
    <row r="2480" spans="1:2" ht="12.9" x14ac:dyDescent="0.35">
      <c r="A2480" s="401">
        <v>42299</v>
      </c>
      <c r="B2480" s="403">
        <v>4.4792960434344998E+17</v>
      </c>
    </row>
    <row r="2481" spans="1:2" ht="12.9" x14ac:dyDescent="0.35">
      <c r="A2481" s="401">
        <v>42300</v>
      </c>
      <c r="B2481" s="403">
        <v>4.5095615572414797E+17</v>
      </c>
    </row>
    <row r="2482" spans="1:2" ht="12.9" x14ac:dyDescent="0.35">
      <c r="A2482" s="401">
        <v>42301</v>
      </c>
      <c r="B2482" s="403">
        <v>4.3884995020135302E+17</v>
      </c>
    </row>
    <row r="2483" spans="1:2" ht="12.9" x14ac:dyDescent="0.35">
      <c r="A2483" s="401">
        <v>42302</v>
      </c>
      <c r="B2483" s="403">
        <v>4.6911546400834202E+17</v>
      </c>
    </row>
    <row r="2484" spans="1:2" ht="12.9" x14ac:dyDescent="0.35">
      <c r="A2484" s="401">
        <v>42303</v>
      </c>
      <c r="B2484" s="403">
        <v>4.9635442643463302E+17</v>
      </c>
    </row>
    <row r="2485" spans="1:2" ht="12.9" x14ac:dyDescent="0.35">
      <c r="A2485" s="401">
        <v>42304</v>
      </c>
      <c r="B2485" s="403">
        <v>4.4490305296275002E+17</v>
      </c>
    </row>
    <row r="2486" spans="1:2" ht="12.9" x14ac:dyDescent="0.35">
      <c r="A2486" s="401">
        <v>42305</v>
      </c>
      <c r="B2486" s="403">
        <v>4.2069064191715898E+17</v>
      </c>
    </row>
    <row r="2487" spans="1:2" ht="12.9" x14ac:dyDescent="0.35">
      <c r="A2487" s="401">
        <v>42306</v>
      </c>
      <c r="B2487" s="403">
        <v>4.6729400021747302E+17</v>
      </c>
    </row>
    <row r="2488" spans="1:2" ht="12.9" x14ac:dyDescent="0.35">
      <c r="A2488" s="401">
        <v>42307</v>
      </c>
      <c r="B2488" s="403">
        <v>5.2918724527939002E+17</v>
      </c>
    </row>
    <row r="2489" spans="1:2" ht="12.9" x14ac:dyDescent="0.35">
      <c r="A2489" s="401">
        <v>42308</v>
      </c>
      <c r="B2489" s="403">
        <v>4.5491535120508902E+17</v>
      </c>
    </row>
    <row r="2490" spans="1:2" ht="12.9" x14ac:dyDescent="0.35">
      <c r="A2490" s="401">
        <v>42309</v>
      </c>
      <c r="B2490" s="403">
        <v>4.7348332472366502E+17</v>
      </c>
    </row>
    <row r="2491" spans="1:2" ht="12.9" x14ac:dyDescent="0.35">
      <c r="A2491" s="401">
        <v>42310</v>
      </c>
      <c r="B2491" s="403">
        <v>4.7348332472366502E+17</v>
      </c>
    </row>
    <row r="2492" spans="1:2" ht="12.9" x14ac:dyDescent="0.35">
      <c r="A2492" s="401">
        <v>42311</v>
      </c>
      <c r="B2492" s="403">
        <v>4.79672649229856E+17</v>
      </c>
    </row>
    <row r="2493" spans="1:2" ht="12.9" x14ac:dyDescent="0.35">
      <c r="A2493" s="401">
        <v>42312</v>
      </c>
      <c r="B2493" s="403">
        <v>4.79672649229856E+17</v>
      </c>
    </row>
    <row r="2494" spans="1:2" ht="12.9" x14ac:dyDescent="0.35">
      <c r="A2494" s="401">
        <v>42313</v>
      </c>
      <c r="B2494" s="403">
        <v>4.5182068895199398E+17</v>
      </c>
    </row>
    <row r="2495" spans="1:2" ht="12.9" x14ac:dyDescent="0.35">
      <c r="A2495" s="401">
        <v>42314</v>
      </c>
      <c r="B2495" s="403">
        <v>4.4872602669889798E+17</v>
      </c>
    </row>
    <row r="2496" spans="1:2" ht="12.9" x14ac:dyDescent="0.35">
      <c r="A2496" s="401">
        <v>42315</v>
      </c>
      <c r="B2496" s="403">
        <v>4.7038866247056902E+17</v>
      </c>
    </row>
    <row r="2497" spans="1:2" ht="12.9" x14ac:dyDescent="0.35">
      <c r="A2497" s="401">
        <v>42316</v>
      </c>
      <c r="B2497" s="403">
        <v>4.3015805318032301E+17</v>
      </c>
    </row>
    <row r="2498" spans="1:2" ht="12.9" x14ac:dyDescent="0.35">
      <c r="A2498" s="401">
        <v>42317</v>
      </c>
      <c r="B2498" s="403">
        <v>4.6110467571128102E+17</v>
      </c>
    </row>
    <row r="2499" spans="1:2" ht="12.9" x14ac:dyDescent="0.35">
      <c r="A2499" s="401">
        <v>42318</v>
      </c>
      <c r="B2499" s="403">
        <v>4.5182068895199398E+17</v>
      </c>
    </row>
    <row r="2500" spans="1:2" ht="12.9" x14ac:dyDescent="0.35">
      <c r="A2500" s="401">
        <v>42319</v>
      </c>
      <c r="B2500" s="403">
        <v>5.4992019929678003E+17</v>
      </c>
    </row>
    <row r="2501" spans="1:2" ht="12.9" x14ac:dyDescent="0.35">
      <c r="A2501" s="401">
        <v>42320</v>
      </c>
      <c r="B2501" s="403">
        <v>5.2700685765941402E+17</v>
      </c>
    </row>
    <row r="2502" spans="1:2" ht="12.9" x14ac:dyDescent="0.35">
      <c r="A2502" s="401">
        <v>42321</v>
      </c>
      <c r="B2502" s="403">
        <v>5.2373352313979002E+17</v>
      </c>
    </row>
    <row r="2503" spans="1:2" ht="12.9" x14ac:dyDescent="0.35">
      <c r="A2503" s="401">
        <v>42322</v>
      </c>
      <c r="B2503" s="403">
        <v>4.6481350178656397E+17</v>
      </c>
    </row>
    <row r="2504" spans="1:2" ht="12.9" x14ac:dyDescent="0.35">
      <c r="A2504" s="401">
        <v>42323</v>
      </c>
      <c r="B2504" s="403">
        <v>5.2373352313979002E+17</v>
      </c>
    </row>
    <row r="2505" spans="1:2" ht="12.9" x14ac:dyDescent="0.35">
      <c r="A2505" s="401">
        <v>42324</v>
      </c>
      <c r="B2505" s="403">
        <v>5.6628687189489798E+17</v>
      </c>
    </row>
    <row r="2506" spans="1:2" ht="12.9" x14ac:dyDescent="0.35">
      <c r="A2506" s="401">
        <v>42325</v>
      </c>
      <c r="B2506" s="403">
        <v>4.8772684342392998E+17</v>
      </c>
    </row>
    <row r="2507" spans="1:2" ht="12.9" x14ac:dyDescent="0.35">
      <c r="A2507" s="401">
        <v>42326</v>
      </c>
      <c r="B2507" s="403">
        <v>5.00820181502424E+17</v>
      </c>
    </row>
    <row r="2508" spans="1:2" ht="12.9" x14ac:dyDescent="0.35">
      <c r="A2508" s="401">
        <v>42327</v>
      </c>
      <c r="B2508" s="403">
        <v>4.4517349466882202E+17</v>
      </c>
    </row>
    <row r="2509" spans="1:2" ht="12.9" x14ac:dyDescent="0.35">
      <c r="A2509" s="401">
        <v>42328</v>
      </c>
      <c r="B2509" s="403">
        <v>5.4664686477715597E+17</v>
      </c>
    </row>
    <row r="2510" spans="1:2" ht="12.9" x14ac:dyDescent="0.35">
      <c r="A2510" s="401">
        <v>42329</v>
      </c>
      <c r="B2510" s="403">
        <v>5.6956020641452198E+17</v>
      </c>
    </row>
    <row r="2511" spans="1:2" ht="12.9" x14ac:dyDescent="0.35">
      <c r="A2511" s="401">
        <v>42330</v>
      </c>
      <c r="B2511" s="403">
        <v>5.6301353737527501E+17</v>
      </c>
    </row>
    <row r="2512" spans="1:2" ht="12.9" x14ac:dyDescent="0.35">
      <c r="A2512" s="401">
        <v>42331</v>
      </c>
      <c r="B2512" s="403">
        <v>5.3355352669866099E+17</v>
      </c>
    </row>
    <row r="2513" spans="1:2" ht="12.9" x14ac:dyDescent="0.35">
      <c r="A2513" s="401">
        <v>42332</v>
      </c>
      <c r="B2513" s="403">
        <v>5.6395076929735699E+17</v>
      </c>
    </row>
    <row r="2514" spans="1:2" ht="12.9" x14ac:dyDescent="0.35">
      <c r="A2514" s="401">
        <v>42333</v>
      </c>
      <c r="B2514" s="403">
        <v>5.3503021702569798E+17</v>
      </c>
    </row>
    <row r="2515" spans="1:2" ht="12.9" x14ac:dyDescent="0.35">
      <c r="A2515" s="401">
        <v>42334</v>
      </c>
      <c r="B2515" s="403">
        <v>6.3625214997650598E+17</v>
      </c>
    </row>
    <row r="2516" spans="1:2" ht="12.9" x14ac:dyDescent="0.35">
      <c r="A2516" s="401">
        <v>42335</v>
      </c>
      <c r="B2516" s="403">
        <v>4.8080418151633702E+17</v>
      </c>
    </row>
    <row r="2517" spans="1:2" ht="12.9" x14ac:dyDescent="0.35">
      <c r="A2517" s="401">
        <v>42336</v>
      </c>
      <c r="B2517" s="403">
        <v>5.5672063122944198E+17</v>
      </c>
    </row>
    <row r="2518" spans="1:2" ht="12.9" x14ac:dyDescent="0.35">
      <c r="A2518" s="401">
        <v>42337</v>
      </c>
      <c r="B2518" s="403">
        <v>5.3864528605965498E+17</v>
      </c>
    </row>
    <row r="2519" spans="1:2" ht="12.9" x14ac:dyDescent="0.35">
      <c r="A2519" s="401">
        <v>42338</v>
      </c>
      <c r="B2519" s="403">
        <v>5.8564118350110195E+17</v>
      </c>
    </row>
    <row r="2520" spans="1:2" ht="12.9" x14ac:dyDescent="0.35">
      <c r="A2520" s="401">
        <v>42339</v>
      </c>
      <c r="B2520" s="403">
        <v>6.0371652867088896E+17</v>
      </c>
    </row>
    <row r="2521" spans="1:2" ht="12.9" x14ac:dyDescent="0.35">
      <c r="A2521" s="401">
        <v>42340</v>
      </c>
      <c r="B2521" s="403">
        <v>5.8202611446714496E+17</v>
      </c>
    </row>
    <row r="2522" spans="1:2" ht="12.9" x14ac:dyDescent="0.35">
      <c r="A2522" s="401">
        <v>42341</v>
      </c>
      <c r="B2522" s="403">
        <v>5.1333980282195302E+17</v>
      </c>
    </row>
    <row r="2523" spans="1:2" ht="12.9" x14ac:dyDescent="0.35">
      <c r="A2523" s="401">
        <v>42342</v>
      </c>
      <c r="B2523" s="403">
        <v>5.5310556219548499E+17</v>
      </c>
    </row>
    <row r="2524" spans="1:2" ht="12.9" x14ac:dyDescent="0.35">
      <c r="A2524" s="401">
        <v>42343</v>
      </c>
      <c r="B2524" s="403">
        <v>6.3263708094254797E+17</v>
      </c>
    </row>
    <row r="2525" spans="1:2" ht="12.9" x14ac:dyDescent="0.35">
      <c r="A2525" s="401">
        <v>42344</v>
      </c>
      <c r="B2525" s="403">
        <v>5.7479597639923002E+17</v>
      </c>
    </row>
    <row r="2526" spans="1:2" ht="12.9" x14ac:dyDescent="0.35">
      <c r="A2526" s="401">
        <v>42345</v>
      </c>
      <c r="B2526" s="403">
        <v>5.7803350038569702E+17</v>
      </c>
    </row>
    <row r="2527" spans="1:2" ht="12.9" x14ac:dyDescent="0.35">
      <c r="A2527" s="401">
        <v>42346</v>
      </c>
      <c r="B2527" s="403">
        <v>6.8813511950678195E+17</v>
      </c>
    </row>
    <row r="2528" spans="1:2" ht="12.9" x14ac:dyDescent="0.35">
      <c r="A2528" s="401">
        <v>42347</v>
      </c>
      <c r="B2528" s="403">
        <v>6.6060971472651098E+17</v>
      </c>
    </row>
    <row r="2529" spans="1:2" ht="12.9" x14ac:dyDescent="0.35">
      <c r="A2529" s="401">
        <v>42348</v>
      </c>
      <c r="B2529" s="403">
        <v>8.4935534750551398E+17</v>
      </c>
    </row>
    <row r="2530" spans="1:2" ht="12.9" x14ac:dyDescent="0.35">
      <c r="A2530" s="401">
        <v>42349</v>
      </c>
      <c r="B2530" s="403">
        <v>6.2915210926334298E+17</v>
      </c>
    </row>
    <row r="2531" spans="1:2" ht="12.9" x14ac:dyDescent="0.35">
      <c r="A2531" s="401">
        <v>42350</v>
      </c>
      <c r="B2531" s="403">
        <v>6.3701651062913498E+17</v>
      </c>
    </row>
    <row r="2532" spans="1:2" ht="12.9" x14ac:dyDescent="0.35">
      <c r="A2532" s="401">
        <v>42351</v>
      </c>
      <c r="B2532" s="403">
        <v>5.5837249697121702E+17</v>
      </c>
    </row>
    <row r="2533" spans="1:2" ht="12.9" x14ac:dyDescent="0.35">
      <c r="A2533" s="401">
        <v>42352</v>
      </c>
      <c r="B2533" s="403">
        <v>7.6677913316470003E+17</v>
      </c>
    </row>
    <row r="2534" spans="1:2" ht="12.9" x14ac:dyDescent="0.35">
      <c r="A2534" s="401">
        <v>42353</v>
      </c>
      <c r="B2534" s="403">
        <v>7.1959272496994906E+17</v>
      </c>
    </row>
    <row r="2535" spans="1:2" ht="12.9" x14ac:dyDescent="0.35">
      <c r="A2535" s="401">
        <v>42354</v>
      </c>
      <c r="B2535" s="403">
        <v>6.4094871131203098E+17</v>
      </c>
    </row>
    <row r="2536" spans="1:2" ht="12.9" x14ac:dyDescent="0.35">
      <c r="A2536" s="401">
        <v>42355</v>
      </c>
      <c r="B2536" s="403">
        <v>6.09491105848864E+17</v>
      </c>
    </row>
    <row r="2537" spans="1:2" ht="12.9" x14ac:dyDescent="0.35">
      <c r="A2537" s="401">
        <v>42356</v>
      </c>
      <c r="B2537" s="403">
        <v>6.6454191540940698E+17</v>
      </c>
    </row>
    <row r="2538" spans="1:2" ht="12.9" x14ac:dyDescent="0.35">
      <c r="A2538" s="401">
        <v>42357</v>
      </c>
      <c r="B2538" s="403">
        <v>7.2932130362507405E+17</v>
      </c>
    </row>
    <row r="2539" spans="1:2" ht="12.9" x14ac:dyDescent="0.35">
      <c r="A2539" s="401">
        <v>42358</v>
      </c>
      <c r="B2539" s="403">
        <v>7.664841725996E+17</v>
      </c>
    </row>
    <row r="2540" spans="1:2" ht="12.9" x14ac:dyDescent="0.35">
      <c r="A2540" s="401">
        <v>42359</v>
      </c>
      <c r="B2540" s="403">
        <v>6.9215843465054797E+17</v>
      </c>
    </row>
    <row r="2541" spans="1:2" ht="12.9" x14ac:dyDescent="0.35">
      <c r="A2541" s="401">
        <v>42360</v>
      </c>
      <c r="B2541" s="403">
        <v>6.9680379327236403E+17</v>
      </c>
    </row>
    <row r="2542" spans="1:2" ht="12.9" x14ac:dyDescent="0.35">
      <c r="A2542" s="401">
        <v>42361</v>
      </c>
      <c r="B2542" s="403">
        <v>7.2932130362507405E+17</v>
      </c>
    </row>
    <row r="2543" spans="1:2" ht="12.9" x14ac:dyDescent="0.35">
      <c r="A2543" s="401">
        <v>42362</v>
      </c>
      <c r="B2543" s="403">
        <v>6.4105948981057498E+17</v>
      </c>
    </row>
    <row r="2544" spans="1:2" ht="12.9" x14ac:dyDescent="0.35">
      <c r="A2544" s="401">
        <v>42363</v>
      </c>
      <c r="B2544" s="403">
        <v>7.5254809673415296E+17</v>
      </c>
    </row>
    <row r="2545" spans="1:2" ht="12.9" x14ac:dyDescent="0.35">
      <c r="A2545" s="401">
        <v>42364</v>
      </c>
      <c r="B2545" s="403">
        <v>7.9435632433049498E+17</v>
      </c>
    </row>
    <row r="2546" spans="1:2" ht="12.9" x14ac:dyDescent="0.35">
      <c r="A2546" s="401">
        <v>42365</v>
      </c>
      <c r="B2546" s="403">
        <v>9.5229851747223104E+17</v>
      </c>
    </row>
    <row r="2547" spans="1:2" ht="12.9" x14ac:dyDescent="0.35">
      <c r="A2547" s="401">
        <v>42366</v>
      </c>
      <c r="B2547" s="403">
        <v>7.0144915189417997E+17</v>
      </c>
    </row>
    <row r="2548" spans="1:2" ht="12.9" x14ac:dyDescent="0.35">
      <c r="A2548" s="401">
        <v>42367</v>
      </c>
      <c r="B2548" s="403">
        <v>7.3861202086870605E+17</v>
      </c>
    </row>
    <row r="2549" spans="1:2" ht="12.9" x14ac:dyDescent="0.35">
      <c r="A2549" s="401">
        <v>42368</v>
      </c>
      <c r="B2549" s="403">
        <v>7.664841725996E+17</v>
      </c>
    </row>
    <row r="2550" spans="1:2" ht="12.9" x14ac:dyDescent="0.35">
      <c r="A2550" s="401">
        <v>42369</v>
      </c>
      <c r="B2550" s="403">
        <v>7.3327660466388698E+17</v>
      </c>
    </row>
    <row r="2551" spans="1:2" ht="12.9" x14ac:dyDescent="0.35">
      <c r="A2551" s="401">
        <v>42370</v>
      </c>
      <c r="B2551" s="403">
        <v>6.97129166405808E+17</v>
      </c>
    </row>
    <row r="2552" spans="1:2" ht="12.9" x14ac:dyDescent="0.35">
      <c r="A2552" s="401">
        <v>42371</v>
      </c>
      <c r="B2552" s="403">
        <v>7.4876836391734899E+17</v>
      </c>
    </row>
    <row r="2553" spans="1:2" ht="12.9" x14ac:dyDescent="0.35">
      <c r="A2553" s="401">
        <v>42372</v>
      </c>
      <c r="B2553" s="403">
        <v>7.4876836391734899E+17</v>
      </c>
    </row>
    <row r="2554" spans="1:2" ht="12.9" x14ac:dyDescent="0.35">
      <c r="A2554" s="401">
        <v>42373</v>
      </c>
      <c r="B2554" s="403">
        <v>9.3466947495889805E+17</v>
      </c>
    </row>
    <row r="2555" spans="1:2" ht="12.9" x14ac:dyDescent="0.35">
      <c r="A2555" s="401">
        <v>42374</v>
      </c>
      <c r="B2555" s="403">
        <v>8.1073540093119898E+17</v>
      </c>
    </row>
    <row r="2556" spans="1:2" ht="12.9" x14ac:dyDescent="0.35">
      <c r="A2556" s="401">
        <v>42375</v>
      </c>
      <c r="B2556" s="403">
        <v>7.2811268491273306E+17</v>
      </c>
    </row>
    <row r="2557" spans="1:2" ht="12.9" x14ac:dyDescent="0.35">
      <c r="A2557" s="401">
        <v>42376</v>
      </c>
      <c r="B2557" s="403">
        <v>7.5909620341965798E+17</v>
      </c>
    </row>
    <row r="2558" spans="1:2" ht="12.9" x14ac:dyDescent="0.35">
      <c r="A2558" s="401">
        <v>42377</v>
      </c>
      <c r="B2558" s="403">
        <v>8.9335811694966502E+17</v>
      </c>
    </row>
    <row r="2559" spans="1:2" ht="12.9" x14ac:dyDescent="0.35">
      <c r="A2559" s="401">
        <v>42378</v>
      </c>
      <c r="B2559" s="403">
        <v>7.7975188242427405E+17</v>
      </c>
    </row>
    <row r="2560" spans="1:2" ht="12.9" x14ac:dyDescent="0.35">
      <c r="A2560" s="401">
        <v>42379</v>
      </c>
      <c r="B2560" s="403">
        <v>9.0368595645197402E+17</v>
      </c>
    </row>
    <row r="2561" spans="1:2" ht="12.9" x14ac:dyDescent="0.35">
      <c r="A2561" s="401">
        <v>42380</v>
      </c>
      <c r="B2561" s="403">
        <v>8.7786635769620301E+17</v>
      </c>
    </row>
    <row r="2562" spans="1:2" ht="12.9" x14ac:dyDescent="0.35">
      <c r="A2562" s="401">
        <v>42381</v>
      </c>
      <c r="B2562" s="403">
        <v>8.7786635769620301E+17</v>
      </c>
    </row>
    <row r="2563" spans="1:2" ht="12.9" x14ac:dyDescent="0.35">
      <c r="A2563" s="401">
        <v>42382</v>
      </c>
      <c r="B2563" s="403">
        <v>8.3396117540773094E+17</v>
      </c>
    </row>
    <row r="2564" spans="1:2" ht="12.9" x14ac:dyDescent="0.35">
      <c r="A2564" s="401">
        <v>42383</v>
      </c>
      <c r="B2564" s="403">
        <v>7.4943808330559603E+17</v>
      </c>
    </row>
    <row r="2565" spans="1:2" ht="12.9" x14ac:dyDescent="0.35">
      <c r="A2565" s="401">
        <v>42384</v>
      </c>
      <c r="B2565" s="403">
        <v>6.8745448243069696E+17</v>
      </c>
    </row>
    <row r="2566" spans="1:2" ht="12.9" x14ac:dyDescent="0.35">
      <c r="A2566" s="401">
        <v>42385</v>
      </c>
      <c r="B2566" s="403">
        <v>8.0015193856687706E+17</v>
      </c>
    </row>
    <row r="2567" spans="1:2" ht="12.9" x14ac:dyDescent="0.35">
      <c r="A2567" s="401">
        <v>42386</v>
      </c>
      <c r="B2567" s="403">
        <v>8.5086579382815795E+17</v>
      </c>
    </row>
    <row r="2568" spans="1:2" ht="12.9" x14ac:dyDescent="0.35">
      <c r="A2568" s="401">
        <v>42387</v>
      </c>
      <c r="B2568" s="403">
        <v>9.7483299557795597E+17</v>
      </c>
    </row>
    <row r="2569" spans="1:2" ht="12.9" x14ac:dyDescent="0.35">
      <c r="A2569" s="401">
        <v>42388</v>
      </c>
      <c r="B2569" s="403">
        <v>7.4943808330559603E+17</v>
      </c>
    </row>
    <row r="2570" spans="1:2" ht="12.9" x14ac:dyDescent="0.35">
      <c r="A2570" s="401">
        <v>42389</v>
      </c>
      <c r="B2570" s="403">
        <v>8.5650066663496704E+17</v>
      </c>
    </row>
    <row r="2571" spans="1:2" ht="12.9" x14ac:dyDescent="0.35">
      <c r="A2571" s="401">
        <v>42390</v>
      </c>
      <c r="B2571" s="403">
        <v>7.71977574532832E+17</v>
      </c>
    </row>
    <row r="2572" spans="1:2" ht="12.9" x14ac:dyDescent="0.35">
      <c r="A2572" s="401">
        <v>42391</v>
      </c>
      <c r="B2572" s="403">
        <v>9.9173761399838298E+17</v>
      </c>
    </row>
    <row r="2573" spans="1:2" ht="12.9" x14ac:dyDescent="0.35">
      <c r="A2573" s="401">
        <v>42392</v>
      </c>
      <c r="B2573" s="403">
        <v>1.00864223241881E+18</v>
      </c>
    </row>
    <row r="2574" spans="1:2" ht="12.9" x14ac:dyDescent="0.35">
      <c r="A2574" s="401">
        <v>42393</v>
      </c>
      <c r="B2574" s="403">
        <v>9.6356324996433805E+17</v>
      </c>
    </row>
    <row r="2575" spans="1:2" ht="12.9" x14ac:dyDescent="0.35">
      <c r="A2575" s="401">
        <v>42394</v>
      </c>
      <c r="B2575" s="403">
        <v>9.1284939470305702E+17</v>
      </c>
    </row>
    <row r="2576" spans="1:2" ht="12.9" x14ac:dyDescent="0.35">
      <c r="A2576" s="401">
        <v>42395</v>
      </c>
      <c r="B2576" s="403">
        <v>9.5470235653090701E+17</v>
      </c>
    </row>
    <row r="2577" spans="1:2" ht="12.9" x14ac:dyDescent="0.35">
      <c r="A2577" s="401">
        <v>42396</v>
      </c>
      <c r="B2577" s="403">
        <v>9.2486790788931699E+17</v>
      </c>
    </row>
    <row r="2578" spans="1:2" ht="12.9" x14ac:dyDescent="0.35">
      <c r="A2578" s="401">
        <v>42397</v>
      </c>
      <c r="B2578" s="403">
        <v>8.7116590033445299E+17</v>
      </c>
    </row>
    <row r="2579" spans="1:2" ht="12.9" x14ac:dyDescent="0.35">
      <c r="A2579" s="401">
        <v>42398</v>
      </c>
      <c r="B2579" s="403">
        <v>1.00840436408577E+18</v>
      </c>
    </row>
    <row r="2580" spans="1:2" ht="12.9" x14ac:dyDescent="0.35">
      <c r="A2580" s="401">
        <v>42399</v>
      </c>
      <c r="B2580" s="403">
        <v>1.11580837919549E+18</v>
      </c>
    </row>
    <row r="2581" spans="1:2" ht="12.9" x14ac:dyDescent="0.35">
      <c r="A2581" s="401">
        <v>42400</v>
      </c>
      <c r="B2581" s="403">
        <v>1.08000704082558E+18</v>
      </c>
    </row>
    <row r="2582" spans="1:2" ht="12.9" x14ac:dyDescent="0.35">
      <c r="A2582" s="401">
        <v>42401</v>
      </c>
      <c r="B2582" s="403">
        <v>9.6066924625922598E+17</v>
      </c>
    </row>
    <row r="2583" spans="1:2" ht="12.9" x14ac:dyDescent="0.35">
      <c r="A2583" s="401">
        <v>42402</v>
      </c>
      <c r="B2583" s="403">
        <v>1.07404015109727E+18</v>
      </c>
    </row>
    <row r="2584" spans="1:2" ht="12.9" x14ac:dyDescent="0.35">
      <c r="A2584" s="401">
        <v>42403</v>
      </c>
      <c r="B2584" s="403">
        <v>1.06807326136895E+18</v>
      </c>
    </row>
    <row r="2585" spans="1:2" ht="12.9" x14ac:dyDescent="0.35">
      <c r="A2585" s="401">
        <v>42404</v>
      </c>
      <c r="B2585" s="403">
        <v>1.00243747435745E+18</v>
      </c>
    </row>
    <row r="2586" spans="1:2" ht="12.9" x14ac:dyDescent="0.35">
      <c r="A2586" s="401">
        <v>42405</v>
      </c>
      <c r="B2586" s="403">
        <v>1.12177526892381E+18</v>
      </c>
    </row>
    <row r="2587" spans="1:2" ht="12.9" x14ac:dyDescent="0.35">
      <c r="A2587" s="401">
        <v>42406</v>
      </c>
      <c r="B2587" s="403">
        <v>1.1933779456636301E+18</v>
      </c>
    </row>
    <row r="2588" spans="1:2" ht="12.9" x14ac:dyDescent="0.35">
      <c r="A2588" s="401">
        <v>42407</v>
      </c>
      <c r="B2588" s="403">
        <v>1.2608758765778801E+18</v>
      </c>
    </row>
    <row r="2589" spans="1:2" ht="12.9" x14ac:dyDescent="0.35">
      <c r="A2589" s="401">
        <v>42408</v>
      </c>
      <c r="B2589" s="403">
        <v>1.06028198712231E+18</v>
      </c>
    </row>
    <row r="2590" spans="1:2" ht="12.9" x14ac:dyDescent="0.35">
      <c r="A2590" s="401">
        <v>42409</v>
      </c>
      <c r="B2590" s="403">
        <v>1.2608758765778801E+18</v>
      </c>
    </row>
    <row r="2591" spans="1:2" ht="12.9" x14ac:dyDescent="0.35">
      <c r="A2591" s="401">
        <v>42410</v>
      </c>
      <c r="B2591" s="403">
        <v>1.17490706681121E+18</v>
      </c>
    </row>
    <row r="2592" spans="1:2" ht="12.9" x14ac:dyDescent="0.35">
      <c r="A2592" s="401">
        <v>42411</v>
      </c>
      <c r="B2592" s="403">
        <v>1.3755009562667799E+18</v>
      </c>
    </row>
    <row r="2593" spans="1:2" ht="12.9" x14ac:dyDescent="0.35">
      <c r="A2593" s="401">
        <v>42412</v>
      </c>
      <c r="B2593" s="403">
        <v>1.2250555391750999E+18</v>
      </c>
    </row>
    <row r="2594" spans="1:2" ht="12.9" x14ac:dyDescent="0.35">
      <c r="A2594" s="401">
        <v>42413</v>
      </c>
      <c r="B2594" s="403">
        <v>1.1175945269667599E+18</v>
      </c>
    </row>
    <row r="2595" spans="1:2" ht="12.9" x14ac:dyDescent="0.35">
      <c r="A2595" s="401">
        <v>42414</v>
      </c>
      <c r="B2595" s="403">
        <v>1.18923520177232E+18</v>
      </c>
    </row>
    <row r="2596" spans="1:2" ht="12.9" x14ac:dyDescent="0.35">
      <c r="A2596" s="401">
        <v>42415</v>
      </c>
      <c r="B2596" s="403">
        <v>1.08893825704453E+18</v>
      </c>
    </row>
    <row r="2597" spans="1:2" ht="12.9" x14ac:dyDescent="0.35">
      <c r="A2597" s="401">
        <v>42416</v>
      </c>
      <c r="B2597" s="403">
        <v>9.88641312316752E+17</v>
      </c>
    </row>
    <row r="2598" spans="1:2" ht="12.9" x14ac:dyDescent="0.35">
      <c r="A2598" s="401">
        <v>42417</v>
      </c>
      <c r="B2598" s="403">
        <v>1.1104304594862001E+18</v>
      </c>
    </row>
    <row r="2599" spans="1:2" ht="12.9" x14ac:dyDescent="0.35">
      <c r="A2599" s="401">
        <v>42418</v>
      </c>
      <c r="B2599" s="403">
        <v>1.2107274042139899E+18</v>
      </c>
    </row>
    <row r="2600" spans="1:2" ht="12.9" x14ac:dyDescent="0.35">
      <c r="A2600" s="401">
        <v>42419</v>
      </c>
      <c r="B2600" s="403">
        <v>1.03878978468064E+18</v>
      </c>
    </row>
    <row r="2601" spans="1:2" ht="12.9" x14ac:dyDescent="0.35">
      <c r="A2601" s="401">
        <v>42420</v>
      </c>
      <c r="B2601" s="403">
        <v>1.2190821371577999E+18</v>
      </c>
    </row>
    <row r="2602" spans="1:2" ht="12.9" x14ac:dyDescent="0.35">
      <c r="A2602" s="401">
        <v>42421</v>
      </c>
      <c r="B2602" s="403">
        <v>1.04028342370799E+18</v>
      </c>
    </row>
    <row r="2603" spans="1:2" ht="12.9" x14ac:dyDescent="0.35">
      <c r="A2603" s="401">
        <v>42422</v>
      </c>
      <c r="B2603" s="403">
        <v>1.03215620946027E+18</v>
      </c>
    </row>
    <row r="2604" spans="1:2" ht="12.9" x14ac:dyDescent="0.35">
      <c r="A2604" s="401">
        <v>42423</v>
      </c>
      <c r="B2604" s="403">
        <v>1.10530113768974E+18</v>
      </c>
    </row>
    <row r="2605" spans="1:2" ht="12.9" x14ac:dyDescent="0.35">
      <c r="A2605" s="401">
        <v>42424</v>
      </c>
      <c r="B2605" s="403">
        <v>9.5901128123080806E+17</v>
      </c>
    </row>
    <row r="2606" spans="1:2" ht="12.9" x14ac:dyDescent="0.35">
      <c r="A2606" s="401">
        <v>42425</v>
      </c>
      <c r="B2606" s="403">
        <v>1.2597182083964001E+18</v>
      </c>
    </row>
    <row r="2607" spans="1:2" ht="12.9" x14ac:dyDescent="0.35">
      <c r="A2607" s="401">
        <v>42426</v>
      </c>
      <c r="B2607" s="403">
        <v>1.13780999468061E+18</v>
      </c>
    </row>
    <row r="2608" spans="1:2" ht="12.9" x14ac:dyDescent="0.35">
      <c r="A2608" s="401">
        <v>42427</v>
      </c>
      <c r="B2608" s="403">
        <v>1.1947004944146501E+18</v>
      </c>
    </row>
    <row r="2609" spans="1:2" ht="12.9" x14ac:dyDescent="0.35">
      <c r="A2609" s="401">
        <v>42428</v>
      </c>
      <c r="B2609" s="403">
        <v>1.0890467091943E+18</v>
      </c>
    </row>
    <row r="2610" spans="1:2" ht="12.9" x14ac:dyDescent="0.35">
      <c r="A2610" s="401">
        <v>42429</v>
      </c>
      <c r="B2610" s="403">
        <v>1.08091949494658E+18</v>
      </c>
    </row>
    <row r="2611" spans="1:2" ht="12.9" x14ac:dyDescent="0.35">
      <c r="A2611" s="401">
        <v>42430</v>
      </c>
      <c r="B2611" s="403">
        <v>1.14593720892833E+18</v>
      </c>
    </row>
    <row r="2612" spans="1:2" ht="12.9" x14ac:dyDescent="0.35">
      <c r="A2612" s="401">
        <v>42431</v>
      </c>
      <c r="B2612" s="403">
        <v>1.27597263689183E+18</v>
      </c>
    </row>
    <row r="2613" spans="1:2" ht="12.9" x14ac:dyDescent="0.35">
      <c r="A2613" s="401">
        <v>42432</v>
      </c>
      <c r="B2613" s="403">
        <v>1.09717392344202E+18</v>
      </c>
    </row>
    <row r="2614" spans="1:2" ht="12.9" x14ac:dyDescent="0.35">
      <c r="A2614" s="401">
        <v>42433</v>
      </c>
      <c r="B2614" s="403">
        <v>1.2597182083964001E+18</v>
      </c>
    </row>
    <row r="2615" spans="1:2" ht="12.9" x14ac:dyDescent="0.35">
      <c r="A2615" s="401">
        <v>42434</v>
      </c>
      <c r="B2615" s="403">
        <v>1.1813188523917901E+18</v>
      </c>
    </row>
    <row r="2616" spans="1:2" ht="12.9" x14ac:dyDescent="0.35">
      <c r="A2616" s="401">
        <v>42435</v>
      </c>
      <c r="B2616" s="403">
        <v>1.1655679343598999E+18</v>
      </c>
    </row>
    <row r="2617" spans="1:2" ht="12.9" x14ac:dyDescent="0.35">
      <c r="A2617" s="401">
        <v>42436</v>
      </c>
      <c r="B2617" s="403">
        <v>1.04743604912072E+18</v>
      </c>
    </row>
    <row r="2618" spans="1:2" ht="12.9" x14ac:dyDescent="0.35">
      <c r="A2618" s="401">
        <v>42437</v>
      </c>
      <c r="B2618" s="403">
        <v>1.2128206884555799E+18</v>
      </c>
    </row>
    <row r="2619" spans="1:2" ht="12.9" x14ac:dyDescent="0.35">
      <c r="A2619" s="401">
        <v>42438</v>
      </c>
      <c r="B2619" s="403">
        <v>1.3230771146788101E+18</v>
      </c>
    </row>
    <row r="2620" spans="1:2" ht="12.9" x14ac:dyDescent="0.35">
      <c r="A2620" s="401">
        <v>42439</v>
      </c>
      <c r="B2620" s="403">
        <v>1.22069614747152E+18</v>
      </c>
    </row>
    <row r="2621" spans="1:2" ht="12.9" x14ac:dyDescent="0.35">
      <c r="A2621" s="401">
        <v>42440</v>
      </c>
      <c r="B2621" s="403">
        <v>1.2600734425512499E+18</v>
      </c>
    </row>
    <row r="2622" spans="1:2" ht="12.9" x14ac:dyDescent="0.35">
      <c r="A2622" s="401">
        <v>42441</v>
      </c>
      <c r="B2622" s="403">
        <v>1.1340660982961201E+18</v>
      </c>
    </row>
    <row r="2623" spans="1:2" ht="12.9" x14ac:dyDescent="0.35">
      <c r="A2623" s="401">
        <v>42442</v>
      </c>
      <c r="B2623" s="403">
        <v>1.04743604912072E+18</v>
      </c>
    </row>
    <row r="2624" spans="1:2" ht="12.9" x14ac:dyDescent="0.35">
      <c r="A2624" s="401">
        <v>42443</v>
      </c>
      <c r="B2624" s="403">
        <v>1.19706977042369E+18</v>
      </c>
    </row>
    <row r="2625" spans="1:2" ht="12.9" x14ac:dyDescent="0.35">
      <c r="A2625" s="401">
        <v>42444</v>
      </c>
      <c r="B2625" s="403">
        <v>1.26794890156719E+18</v>
      </c>
    </row>
    <row r="2626" spans="1:2" ht="12.9" x14ac:dyDescent="0.35">
      <c r="A2626" s="401">
        <v>42445</v>
      </c>
      <c r="B2626" s="403">
        <v>1.19706977042369E+18</v>
      </c>
    </row>
    <row r="2627" spans="1:2" ht="12.9" x14ac:dyDescent="0.35">
      <c r="A2627" s="401">
        <v>42446</v>
      </c>
      <c r="B2627" s="403">
        <v>1.11043972124829E+18</v>
      </c>
    </row>
    <row r="2628" spans="1:2" ht="12.9" x14ac:dyDescent="0.35">
      <c r="A2628" s="401">
        <v>42447</v>
      </c>
      <c r="B2628" s="403">
        <v>1.1188573523345201E+18</v>
      </c>
    </row>
    <row r="2629" spans="1:2" ht="12.9" x14ac:dyDescent="0.35">
      <c r="A2629" s="401">
        <v>42448</v>
      </c>
      <c r="B2629" s="403">
        <v>1.1188573523345201E+18</v>
      </c>
    </row>
    <row r="2630" spans="1:2" ht="12.9" x14ac:dyDescent="0.35">
      <c r="A2630" s="401">
        <v>42449</v>
      </c>
      <c r="B2630" s="403">
        <v>1.20112627530029E+18</v>
      </c>
    </row>
    <row r="2631" spans="1:2" ht="12.9" x14ac:dyDescent="0.35">
      <c r="A2631" s="401">
        <v>42450</v>
      </c>
      <c r="B2631" s="403">
        <v>1.14353802922425E+18</v>
      </c>
    </row>
    <row r="2632" spans="1:2" ht="12.9" x14ac:dyDescent="0.35">
      <c r="A2632" s="401">
        <v>42451</v>
      </c>
      <c r="B2632" s="403">
        <v>1.21758005989345E+18</v>
      </c>
    </row>
    <row r="2633" spans="1:2" ht="12.9" x14ac:dyDescent="0.35">
      <c r="A2633" s="401">
        <v>42452</v>
      </c>
      <c r="B2633" s="403">
        <v>1.2258069521900201E+18</v>
      </c>
    </row>
    <row r="2634" spans="1:2" ht="12.9" x14ac:dyDescent="0.35">
      <c r="A2634" s="401">
        <v>42453</v>
      </c>
      <c r="B2634" s="403">
        <v>1.2093531675968699E+18</v>
      </c>
    </row>
    <row r="2635" spans="1:2" ht="12.9" x14ac:dyDescent="0.35">
      <c r="A2635" s="401">
        <v>42454</v>
      </c>
      <c r="B2635" s="403">
        <v>1.20112627530029E+18</v>
      </c>
    </row>
    <row r="2636" spans="1:2" ht="12.9" x14ac:dyDescent="0.35">
      <c r="A2636" s="401">
        <v>42455</v>
      </c>
      <c r="B2636" s="403">
        <v>1.25871452137633E+18</v>
      </c>
    </row>
    <row r="2637" spans="1:2" ht="12.9" x14ac:dyDescent="0.35">
      <c r="A2637" s="401">
        <v>42456</v>
      </c>
      <c r="B2637" s="403">
        <v>1.1599918138174001E+18</v>
      </c>
    </row>
    <row r="2638" spans="1:2" ht="12.9" x14ac:dyDescent="0.35">
      <c r="A2638" s="401">
        <v>42457</v>
      </c>
      <c r="B2638" s="403">
        <v>1.3985716904181499E+18</v>
      </c>
    </row>
    <row r="2639" spans="1:2" ht="12.9" x14ac:dyDescent="0.35">
      <c r="A2639" s="401">
        <v>42458</v>
      </c>
      <c r="B2639" s="403">
        <v>1.2916220905626399E+18</v>
      </c>
    </row>
    <row r="2640" spans="1:2" ht="12.9" x14ac:dyDescent="0.35">
      <c r="A2640" s="401">
        <v>42459</v>
      </c>
      <c r="B2640" s="403">
        <v>1.2093531675968699E+18</v>
      </c>
    </row>
    <row r="2641" spans="1:2" ht="12.9" x14ac:dyDescent="0.35">
      <c r="A2641" s="401">
        <v>42460</v>
      </c>
      <c r="B2641" s="403">
        <v>1.02013464477559E+18</v>
      </c>
    </row>
    <row r="2642" spans="1:2" ht="12.9" x14ac:dyDescent="0.35">
      <c r="A2642" s="401">
        <v>42461</v>
      </c>
      <c r="B2642" s="403">
        <v>1.2690177581499799E+18</v>
      </c>
    </row>
    <row r="2643" spans="1:2" ht="12.9" x14ac:dyDescent="0.35">
      <c r="A2643" s="401">
        <v>42462</v>
      </c>
      <c r="B2643" s="403">
        <v>1.1528984861624E+18</v>
      </c>
    </row>
    <row r="2644" spans="1:2" ht="12.9" x14ac:dyDescent="0.35">
      <c r="A2644" s="401">
        <v>42463</v>
      </c>
      <c r="B2644" s="403">
        <v>1.17778118730259E+18</v>
      </c>
    </row>
    <row r="2645" spans="1:2" ht="12.9" x14ac:dyDescent="0.35">
      <c r="A2645" s="401">
        <v>42464</v>
      </c>
      <c r="B2645" s="403">
        <v>1.37684279642416E+18</v>
      </c>
    </row>
    <row r="2646" spans="1:2" ht="12.9" x14ac:dyDescent="0.35">
      <c r="A2646" s="401">
        <v>42465</v>
      </c>
      <c r="B2646" s="403">
        <v>1.28560622557677E+18</v>
      </c>
    </row>
    <row r="2647" spans="1:2" ht="12.9" x14ac:dyDescent="0.35">
      <c r="A2647" s="401">
        <v>42466</v>
      </c>
      <c r="B2647" s="403">
        <v>1.3021946930035699E+18</v>
      </c>
    </row>
    <row r="2648" spans="1:2" ht="12.9" x14ac:dyDescent="0.35">
      <c r="A2648" s="401">
        <v>42467</v>
      </c>
      <c r="B2648" s="403">
        <v>1.1528984861624E+18</v>
      </c>
    </row>
    <row r="2649" spans="1:2" ht="12.9" x14ac:dyDescent="0.35">
      <c r="A2649" s="401">
        <v>42468</v>
      </c>
      <c r="B2649" s="403">
        <v>1.1943696547293901E+18</v>
      </c>
    </row>
    <row r="2650" spans="1:2" ht="12.9" x14ac:dyDescent="0.35">
      <c r="A2650" s="401">
        <v>42469</v>
      </c>
      <c r="B2650" s="403">
        <v>1.34366586157056E+18</v>
      </c>
    </row>
    <row r="2651" spans="1:2" ht="12.9" x14ac:dyDescent="0.35">
      <c r="A2651" s="401">
        <v>42470</v>
      </c>
      <c r="B2651" s="403">
        <v>1.43490243241795E+18</v>
      </c>
    </row>
    <row r="2652" spans="1:2" ht="12.9" x14ac:dyDescent="0.35">
      <c r="A2652" s="401">
        <v>42471</v>
      </c>
      <c r="B2652" s="403">
        <v>1.2690177581499799E+18</v>
      </c>
    </row>
    <row r="2653" spans="1:2" ht="12.9" x14ac:dyDescent="0.35">
      <c r="A2653" s="401">
        <v>42472</v>
      </c>
      <c r="B2653" s="403">
        <v>1.2275465895829801E+18</v>
      </c>
    </row>
    <row r="2654" spans="1:2" ht="12.9" x14ac:dyDescent="0.35">
      <c r="A2654" s="401">
        <v>42473</v>
      </c>
      <c r="B2654" s="403">
        <v>1.3602543289973601E+18</v>
      </c>
    </row>
    <row r="2655" spans="1:2" ht="12.9" x14ac:dyDescent="0.35">
      <c r="A2655" s="401">
        <v>42474</v>
      </c>
      <c r="B2655" s="403">
        <v>1.4566720836173801E+18</v>
      </c>
    </row>
    <row r="2656" spans="1:2" ht="12.9" x14ac:dyDescent="0.35">
      <c r="A2656" s="401">
        <v>42475</v>
      </c>
      <c r="B2656" s="403">
        <v>1.23461841233424E+18</v>
      </c>
    </row>
    <row r="2657" spans="1:2" ht="12.9" x14ac:dyDescent="0.35">
      <c r="A2657" s="401">
        <v>42476</v>
      </c>
      <c r="B2657" s="403">
        <v>1.2257362654829199E+18</v>
      </c>
    </row>
    <row r="2658" spans="1:2" ht="12.9" x14ac:dyDescent="0.35">
      <c r="A2658" s="401">
        <v>42477</v>
      </c>
      <c r="B2658" s="403">
        <v>1.40337920250943E+18</v>
      </c>
    </row>
    <row r="2659" spans="1:2" ht="12.9" x14ac:dyDescent="0.35">
      <c r="A2659" s="401">
        <v>42478</v>
      </c>
      <c r="B2659" s="403">
        <v>1.19020767807762E+18</v>
      </c>
    </row>
    <row r="2660" spans="1:2" ht="12.9" x14ac:dyDescent="0.35">
      <c r="A2660" s="401">
        <v>42479</v>
      </c>
      <c r="B2660" s="403">
        <v>1.3323220276988201E+18</v>
      </c>
    </row>
    <row r="2661" spans="1:2" ht="12.9" x14ac:dyDescent="0.35">
      <c r="A2661" s="401">
        <v>42480</v>
      </c>
      <c r="B2661" s="403">
        <v>1.4655542304687099E+18</v>
      </c>
    </row>
    <row r="2662" spans="1:2" ht="12.9" x14ac:dyDescent="0.35">
      <c r="A2662" s="401">
        <v>42481</v>
      </c>
      <c r="B2662" s="403">
        <v>1.3412041745501499E+18</v>
      </c>
    </row>
    <row r="2663" spans="1:2" ht="12.9" x14ac:dyDescent="0.35">
      <c r="A2663" s="401">
        <v>42482</v>
      </c>
      <c r="B2663" s="403">
        <v>1.27014699973955E+18</v>
      </c>
    </row>
    <row r="2664" spans="1:2" ht="12.9" x14ac:dyDescent="0.35">
      <c r="A2664" s="401">
        <v>42483</v>
      </c>
      <c r="B2664" s="403">
        <v>1.27902914659087E+18</v>
      </c>
    </row>
    <row r="2665" spans="1:2" ht="12.9" x14ac:dyDescent="0.35">
      <c r="A2665" s="401">
        <v>42484</v>
      </c>
      <c r="B2665" s="403">
        <v>1.1724433843749701E+18</v>
      </c>
    </row>
    <row r="2666" spans="1:2" ht="12.9" x14ac:dyDescent="0.35">
      <c r="A2666" s="401">
        <v>42485</v>
      </c>
      <c r="B2666" s="403">
        <v>1.12803265011834E+18</v>
      </c>
    </row>
    <row r="2667" spans="1:2" ht="12.9" x14ac:dyDescent="0.35">
      <c r="A2667" s="401">
        <v>42486</v>
      </c>
      <c r="B2667" s="403">
        <v>1.3412041745501499E+18</v>
      </c>
    </row>
    <row r="2668" spans="1:2" ht="12.9" x14ac:dyDescent="0.35">
      <c r="A2668" s="401">
        <v>42487</v>
      </c>
      <c r="B2668" s="403">
        <v>1.14579694382099E+18</v>
      </c>
    </row>
    <row r="2669" spans="1:2" ht="12.9" x14ac:dyDescent="0.35">
      <c r="A2669" s="401">
        <v>42488</v>
      </c>
      <c r="B2669" s="403">
        <v>1.1989619832197399E+18</v>
      </c>
    </row>
    <row r="2670" spans="1:2" ht="12.9" x14ac:dyDescent="0.35">
      <c r="A2670" s="401">
        <v>42489</v>
      </c>
      <c r="B2670" s="403">
        <v>1.4032295803608801E+18</v>
      </c>
    </row>
    <row r="2671" spans="1:2" ht="12.9" x14ac:dyDescent="0.35">
      <c r="A2671" s="401">
        <v>42490</v>
      </c>
      <c r="B2671" s="403">
        <v>1.29665518185246E+18</v>
      </c>
    </row>
    <row r="2672" spans="1:2" ht="12.9" x14ac:dyDescent="0.35">
      <c r="A2672" s="401">
        <v>42491</v>
      </c>
      <c r="B2672" s="403">
        <v>1.37658598073378E+18</v>
      </c>
    </row>
    <row r="2673" spans="1:2" ht="12.9" x14ac:dyDescent="0.35">
      <c r="A2673" s="401">
        <v>42492</v>
      </c>
      <c r="B2673" s="403">
        <v>1.3943483804851799E+18</v>
      </c>
    </row>
    <row r="2674" spans="1:2" ht="12.9" x14ac:dyDescent="0.35">
      <c r="A2674" s="401">
        <v>42493</v>
      </c>
      <c r="B2674" s="403">
        <v>1.3410611812309701E+18</v>
      </c>
    </row>
    <row r="2675" spans="1:2" ht="12.9" x14ac:dyDescent="0.35">
      <c r="A2675" s="401">
        <v>42494</v>
      </c>
      <c r="B2675" s="403">
        <v>1.4831603792422001E+18</v>
      </c>
    </row>
    <row r="2676" spans="1:2" ht="12.9" x14ac:dyDescent="0.35">
      <c r="A2676" s="401">
        <v>42495</v>
      </c>
      <c r="B2676" s="403">
        <v>1.37658598073378E+18</v>
      </c>
    </row>
    <row r="2677" spans="1:2" ht="12.9" x14ac:dyDescent="0.35">
      <c r="A2677" s="401">
        <v>42496</v>
      </c>
      <c r="B2677" s="403">
        <v>1.43875437986369E+18</v>
      </c>
    </row>
    <row r="2678" spans="1:2" ht="12.9" x14ac:dyDescent="0.35">
      <c r="A2678" s="401">
        <v>42497</v>
      </c>
      <c r="B2678" s="403">
        <v>1.3321799813552699E+18</v>
      </c>
    </row>
    <row r="2679" spans="1:2" ht="12.9" x14ac:dyDescent="0.35">
      <c r="A2679" s="401">
        <v>42498</v>
      </c>
      <c r="B2679" s="403">
        <v>1.4920415791179E+18</v>
      </c>
    </row>
    <row r="2680" spans="1:2" ht="12.9" x14ac:dyDescent="0.35">
      <c r="A2680" s="401">
        <v>42499</v>
      </c>
      <c r="B2680" s="403">
        <v>1.5186851787450099E+18</v>
      </c>
    </row>
    <row r="2681" spans="1:2" ht="12.9" x14ac:dyDescent="0.35">
      <c r="A2681" s="401">
        <v>42500</v>
      </c>
      <c r="B2681" s="403">
        <v>1.4032295803608801E+18</v>
      </c>
    </row>
    <row r="2682" spans="1:2" ht="12.9" x14ac:dyDescent="0.35">
      <c r="A2682" s="401">
        <v>42501</v>
      </c>
      <c r="B2682" s="403">
        <v>1.28430911258831E+18</v>
      </c>
    </row>
    <row r="2683" spans="1:2" ht="12.9" x14ac:dyDescent="0.35">
      <c r="A2683" s="401">
        <v>42502</v>
      </c>
      <c r="B2683" s="403">
        <v>1.34224786954718E+18</v>
      </c>
    </row>
    <row r="2684" spans="1:2" ht="12.9" x14ac:dyDescent="0.35">
      <c r="A2684" s="401">
        <v>42503</v>
      </c>
      <c r="B2684" s="403">
        <v>1.46778184295807E+18</v>
      </c>
    </row>
    <row r="2685" spans="1:2" ht="12.9" x14ac:dyDescent="0.35">
      <c r="A2685" s="401">
        <v>42504</v>
      </c>
      <c r="B2685" s="403">
        <v>1.3905301670129101E+18</v>
      </c>
    </row>
    <row r="2686" spans="1:2" ht="12.9" x14ac:dyDescent="0.35">
      <c r="A2686" s="401">
        <v>42505</v>
      </c>
      <c r="B2686" s="403">
        <v>1.34224786954718E+18</v>
      </c>
    </row>
    <row r="2687" spans="1:2" ht="12.9" x14ac:dyDescent="0.35">
      <c r="A2687" s="401">
        <v>42506</v>
      </c>
      <c r="B2687" s="403">
        <v>1.3615607885334799E+18</v>
      </c>
    </row>
    <row r="2688" spans="1:2" ht="12.9" x14ac:dyDescent="0.35">
      <c r="A2688" s="401">
        <v>42507</v>
      </c>
      <c r="B2688" s="403">
        <v>1.3615607885334799E+18</v>
      </c>
    </row>
    <row r="2689" spans="1:2" ht="12.9" x14ac:dyDescent="0.35">
      <c r="A2689" s="401">
        <v>42508</v>
      </c>
      <c r="B2689" s="403">
        <v>1.47743830245122E+18</v>
      </c>
    </row>
    <row r="2690" spans="1:2" ht="12.9" x14ac:dyDescent="0.35">
      <c r="A2690" s="401">
        <v>42509</v>
      </c>
      <c r="B2690" s="403">
        <v>1.15877513917742E+18</v>
      </c>
    </row>
    <row r="2691" spans="1:2" ht="12.9" x14ac:dyDescent="0.35">
      <c r="A2691" s="401">
        <v>42510</v>
      </c>
      <c r="B2691" s="403">
        <v>1.4388124644786401E+18</v>
      </c>
    </row>
    <row r="2692" spans="1:2" ht="12.9" x14ac:dyDescent="0.35">
      <c r="A2692" s="401">
        <v>42511</v>
      </c>
      <c r="B2692" s="403">
        <v>1.3615607885334799E+18</v>
      </c>
    </row>
    <row r="2693" spans="1:2" ht="12.9" x14ac:dyDescent="0.35">
      <c r="A2693" s="401">
        <v>42512</v>
      </c>
      <c r="B2693" s="403">
        <v>1.77678854673872E+18</v>
      </c>
    </row>
    <row r="2694" spans="1:2" ht="12.9" x14ac:dyDescent="0.35">
      <c r="A2694" s="401">
        <v>42513</v>
      </c>
      <c r="B2694" s="403">
        <v>1.7381627087661399E+18</v>
      </c>
    </row>
    <row r="2695" spans="1:2" ht="12.9" x14ac:dyDescent="0.35">
      <c r="A2695" s="401">
        <v>42514</v>
      </c>
      <c r="B2695" s="403">
        <v>1.41949954549235E+18</v>
      </c>
    </row>
    <row r="2696" spans="1:2" ht="12.9" x14ac:dyDescent="0.35">
      <c r="A2696" s="401">
        <v>42515</v>
      </c>
      <c r="B2696" s="403">
        <v>1.36728421320355E+18</v>
      </c>
    </row>
    <row r="2697" spans="1:2" ht="12.9" x14ac:dyDescent="0.35">
      <c r="A2697" s="401">
        <v>42516</v>
      </c>
      <c r="B2697" s="403">
        <v>1.3375606433513001E+18</v>
      </c>
    </row>
    <row r="2698" spans="1:2" ht="12.9" x14ac:dyDescent="0.35">
      <c r="A2698" s="401">
        <v>42517</v>
      </c>
      <c r="B2698" s="403">
        <v>1.37719206982096E+18</v>
      </c>
    </row>
    <row r="2699" spans="1:2" ht="12.9" x14ac:dyDescent="0.35">
      <c r="A2699" s="401">
        <v>42518</v>
      </c>
      <c r="B2699" s="403">
        <v>1.31774493011646E+18</v>
      </c>
    </row>
    <row r="2700" spans="1:2" ht="12.9" x14ac:dyDescent="0.35">
      <c r="A2700" s="401">
        <v>42519</v>
      </c>
      <c r="B2700" s="403">
        <v>1.4564549227603E+18</v>
      </c>
    </row>
    <row r="2701" spans="1:2" ht="12.9" x14ac:dyDescent="0.35">
      <c r="A2701" s="401">
        <v>42520</v>
      </c>
      <c r="B2701" s="403">
        <v>1.4267313529080499E+18</v>
      </c>
    </row>
    <row r="2702" spans="1:2" ht="12.9" x14ac:dyDescent="0.35">
      <c r="A2702" s="401">
        <v>42521</v>
      </c>
      <c r="B2702" s="403">
        <v>1.2582977904119601E+18</v>
      </c>
    </row>
    <row r="2703" spans="1:2" ht="12.9" x14ac:dyDescent="0.35">
      <c r="A2703" s="401">
        <v>42522</v>
      </c>
      <c r="B2703" s="403">
        <v>1.4168234962906299E+18</v>
      </c>
    </row>
    <row r="2704" spans="1:2" ht="12.9" x14ac:dyDescent="0.35">
      <c r="A2704" s="401">
        <v>42523</v>
      </c>
      <c r="B2704" s="403">
        <v>1.36728421320355E+18</v>
      </c>
    </row>
    <row r="2705" spans="1:2" ht="12.9" x14ac:dyDescent="0.35">
      <c r="A2705" s="401">
        <v>42524</v>
      </c>
      <c r="B2705" s="403">
        <v>1.4069156396732101E+18</v>
      </c>
    </row>
    <row r="2706" spans="1:2" ht="12.9" x14ac:dyDescent="0.35">
      <c r="A2706" s="401">
        <v>42525</v>
      </c>
      <c r="B2706" s="403">
        <v>1.17903493747262E+18</v>
      </c>
    </row>
    <row r="2707" spans="1:2" ht="12.9" x14ac:dyDescent="0.35">
      <c r="A2707" s="401">
        <v>42526</v>
      </c>
      <c r="B2707" s="403">
        <v>1.6843356249608901E+18</v>
      </c>
    </row>
    <row r="2708" spans="1:2" ht="12.9" x14ac:dyDescent="0.35">
      <c r="A2708" s="401">
        <v>42527</v>
      </c>
      <c r="B2708" s="403">
        <v>1.6843356249608901E+18</v>
      </c>
    </row>
    <row r="2709" spans="1:2" ht="12.9" x14ac:dyDescent="0.35">
      <c r="A2709" s="401">
        <v>42528</v>
      </c>
      <c r="B2709" s="403">
        <v>1.38709992643838E+18</v>
      </c>
    </row>
    <row r="2710" spans="1:2" ht="12.9" x14ac:dyDescent="0.35">
      <c r="A2710" s="401">
        <v>42529</v>
      </c>
      <c r="B2710" s="403">
        <v>1.40346233971331E+18</v>
      </c>
    </row>
    <row r="2711" spans="1:2" ht="12.9" x14ac:dyDescent="0.35">
      <c r="A2711" s="401">
        <v>42530</v>
      </c>
      <c r="B2711" s="403">
        <v>1.6081339309214999E+18</v>
      </c>
    </row>
    <row r="2712" spans="1:2" ht="12.9" x14ac:dyDescent="0.35">
      <c r="A2712" s="401">
        <v>42531</v>
      </c>
      <c r="B2712" s="403">
        <v>1.40346233971331E+18</v>
      </c>
    </row>
    <row r="2713" spans="1:2" ht="12.9" x14ac:dyDescent="0.35">
      <c r="A2713" s="401">
        <v>42532</v>
      </c>
      <c r="B2713" s="403">
        <v>1.52041753468942E+18</v>
      </c>
    </row>
    <row r="2714" spans="1:2" ht="12.9" x14ac:dyDescent="0.35">
      <c r="A2714" s="401">
        <v>42533</v>
      </c>
      <c r="B2714" s="403">
        <v>1.4229548722093299E+18</v>
      </c>
    </row>
    <row r="2715" spans="1:2" ht="12.9" x14ac:dyDescent="0.35">
      <c r="A2715" s="401">
        <v>42534</v>
      </c>
      <c r="B2715" s="403">
        <v>1.56914886592946E+18</v>
      </c>
    </row>
    <row r="2716" spans="1:2" ht="12.9" x14ac:dyDescent="0.35">
      <c r="A2716" s="401">
        <v>42535</v>
      </c>
      <c r="B2716" s="403">
        <v>1.2865071447372001E+18</v>
      </c>
    </row>
    <row r="2717" spans="1:2" ht="12.9" x14ac:dyDescent="0.35">
      <c r="A2717" s="401">
        <v>42536</v>
      </c>
      <c r="B2717" s="403">
        <v>1.4814324696973801E+18</v>
      </c>
    </row>
    <row r="2718" spans="1:2" ht="12.9" x14ac:dyDescent="0.35">
      <c r="A2718" s="401">
        <v>42537</v>
      </c>
      <c r="B2718" s="403">
        <v>1.4521936709533499E+18</v>
      </c>
    </row>
    <row r="2719" spans="1:2" ht="12.9" x14ac:dyDescent="0.35">
      <c r="A2719" s="401">
        <v>42538</v>
      </c>
      <c r="B2719" s="403">
        <v>1.4521936709533499E+18</v>
      </c>
    </row>
    <row r="2720" spans="1:2" ht="12.9" x14ac:dyDescent="0.35">
      <c r="A2720" s="401">
        <v>42539</v>
      </c>
      <c r="B2720" s="403">
        <v>1.53991006718544E+18</v>
      </c>
    </row>
    <row r="2721" spans="1:2" ht="12.9" x14ac:dyDescent="0.35">
      <c r="A2721" s="401">
        <v>42540</v>
      </c>
      <c r="B2721" s="403">
        <v>1.72508912589761E+18</v>
      </c>
    </row>
    <row r="2722" spans="1:2" ht="12.9" x14ac:dyDescent="0.35">
      <c r="A2722" s="401">
        <v>42541</v>
      </c>
      <c r="B2722" s="403">
        <v>1.5983876646734899E+18</v>
      </c>
    </row>
    <row r="2723" spans="1:2" ht="12.9" x14ac:dyDescent="0.35">
      <c r="A2723" s="401">
        <v>42542</v>
      </c>
      <c r="B2723" s="403">
        <v>1.55138397529454E+18</v>
      </c>
    </row>
    <row r="2724" spans="1:2" ht="12.9" x14ac:dyDescent="0.35">
      <c r="A2724" s="401">
        <v>42543</v>
      </c>
      <c r="B2724" s="403">
        <v>1.3431445155234601E+18</v>
      </c>
    </row>
    <row r="2725" spans="1:2" ht="12.9" x14ac:dyDescent="0.35">
      <c r="A2725" s="401">
        <v>42544</v>
      </c>
      <c r="B2725" s="403">
        <v>1.4576762183975501E+18</v>
      </c>
    </row>
    <row r="2726" spans="1:2" ht="12.9" x14ac:dyDescent="0.35">
      <c r="A2726" s="401">
        <v>42545</v>
      </c>
      <c r="B2726" s="403">
        <v>1.3431445155234601E+18</v>
      </c>
    </row>
    <row r="2727" spans="1:2" ht="12.9" x14ac:dyDescent="0.35">
      <c r="A2727" s="401">
        <v>42546</v>
      </c>
      <c r="B2727" s="403">
        <v>1.68673962414574E+18</v>
      </c>
    </row>
    <row r="2728" spans="1:2" ht="12.9" x14ac:dyDescent="0.35">
      <c r="A2728" s="401">
        <v>42547</v>
      </c>
      <c r="B2728" s="403">
        <v>1.5201480563288699E+18</v>
      </c>
    </row>
    <row r="2729" spans="1:2" ht="12.9" x14ac:dyDescent="0.35">
      <c r="A2729" s="401">
        <v>42548</v>
      </c>
      <c r="B2729" s="403">
        <v>1.53056002931743E+18</v>
      </c>
    </row>
    <row r="2730" spans="1:2" ht="12.9" x14ac:dyDescent="0.35">
      <c r="A2730" s="401">
        <v>42549</v>
      </c>
      <c r="B2730" s="403">
        <v>1.5409720023059799E+18</v>
      </c>
    </row>
    <row r="2731" spans="1:2" ht="12.9" x14ac:dyDescent="0.35">
      <c r="A2731" s="401">
        <v>42550</v>
      </c>
      <c r="B2731" s="403">
        <v>1.5201480563288699E+18</v>
      </c>
    </row>
    <row r="2732" spans="1:2" ht="12.9" x14ac:dyDescent="0.35">
      <c r="A2732" s="401">
        <v>42551</v>
      </c>
      <c r="B2732" s="403">
        <v>1.5617959482830899E+18</v>
      </c>
    </row>
    <row r="2733" spans="1:2" ht="12.9" x14ac:dyDescent="0.35">
      <c r="A2733" s="401">
        <v>42552</v>
      </c>
      <c r="B2733" s="403">
        <v>1.6138558132258601E+18</v>
      </c>
    </row>
    <row r="2734" spans="1:2" ht="12.9" x14ac:dyDescent="0.35">
      <c r="A2734" s="401">
        <v>42553</v>
      </c>
      <c r="B2734" s="403">
        <v>1.55138397529454E+18</v>
      </c>
    </row>
    <row r="2735" spans="1:2" ht="12.9" x14ac:dyDescent="0.35">
      <c r="A2735" s="401">
        <v>42554</v>
      </c>
      <c r="B2735" s="403">
        <v>1.60344384023731E+18</v>
      </c>
    </row>
    <row r="2736" spans="1:2" ht="12.9" x14ac:dyDescent="0.35">
      <c r="A2736" s="401">
        <v>42555</v>
      </c>
      <c r="B2736" s="403">
        <v>1.5722079212716401E+18</v>
      </c>
    </row>
    <row r="2737" spans="1:2" ht="12.9" x14ac:dyDescent="0.35">
      <c r="A2737" s="401">
        <v>42556</v>
      </c>
      <c r="B2737" s="403">
        <v>1.5381771269495301E+18</v>
      </c>
    </row>
    <row r="2738" spans="1:2" ht="12.9" x14ac:dyDescent="0.35">
      <c r="A2738" s="401">
        <v>42557</v>
      </c>
      <c r="B2738" s="403">
        <v>1.4851365363650601E+18</v>
      </c>
    </row>
    <row r="2739" spans="1:2" ht="12.9" x14ac:dyDescent="0.35">
      <c r="A2739" s="401">
        <v>42558</v>
      </c>
      <c r="B2739" s="403">
        <v>1.45331218201438E+18</v>
      </c>
    </row>
    <row r="2740" spans="1:2" ht="12.9" x14ac:dyDescent="0.35">
      <c r="A2740" s="401">
        <v>42559</v>
      </c>
      <c r="B2740" s="403">
        <v>1.5381771269495301E+18</v>
      </c>
    </row>
    <row r="2741" spans="1:2" ht="12.9" x14ac:dyDescent="0.35">
      <c r="A2741" s="401">
        <v>42560</v>
      </c>
      <c r="B2741" s="403">
        <v>1.5806095994171E+18</v>
      </c>
    </row>
    <row r="2742" spans="1:2" ht="12.9" x14ac:dyDescent="0.35">
      <c r="A2742" s="401">
        <v>42561</v>
      </c>
      <c r="B2742" s="403">
        <v>1.65486642623535E+18</v>
      </c>
    </row>
    <row r="2743" spans="1:2" ht="12.9" x14ac:dyDescent="0.35">
      <c r="A2743" s="401">
        <v>42562</v>
      </c>
      <c r="B2743" s="403">
        <v>1.5169608907157399E+18</v>
      </c>
    </row>
    <row r="2744" spans="1:2" ht="12.9" x14ac:dyDescent="0.35">
      <c r="A2744" s="401">
        <v>42563</v>
      </c>
      <c r="B2744" s="403">
        <v>1.5169608907157399E+18</v>
      </c>
    </row>
    <row r="2745" spans="1:2" ht="12.9" x14ac:dyDescent="0.35">
      <c r="A2745" s="401">
        <v>42564</v>
      </c>
      <c r="B2745" s="403">
        <v>1.36844723707923E+18</v>
      </c>
    </row>
    <row r="2746" spans="1:2" ht="12.9" x14ac:dyDescent="0.35">
      <c r="A2746" s="401">
        <v>42565</v>
      </c>
      <c r="B2746" s="403">
        <v>1.49574465448195E+18</v>
      </c>
    </row>
    <row r="2747" spans="1:2" ht="12.9" x14ac:dyDescent="0.35">
      <c r="A2747" s="401">
        <v>42566</v>
      </c>
      <c r="B2747" s="403">
        <v>1.4320959457805901E+18</v>
      </c>
    </row>
    <row r="2748" spans="1:2" ht="12.9" x14ac:dyDescent="0.35">
      <c r="A2748" s="401">
        <v>42567</v>
      </c>
      <c r="B2748" s="403">
        <v>1.6654745443522501E+18</v>
      </c>
    </row>
    <row r="2749" spans="1:2" ht="12.9" x14ac:dyDescent="0.35">
      <c r="A2749" s="401">
        <v>42568</v>
      </c>
      <c r="B2749" s="403">
        <v>1.5806095994171E+18</v>
      </c>
    </row>
    <row r="2750" spans="1:2" ht="12.9" x14ac:dyDescent="0.35">
      <c r="A2750" s="401">
        <v>42569</v>
      </c>
      <c r="B2750" s="403">
        <v>1.5700014813002099E+18</v>
      </c>
    </row>
    <row r="2751" spans="1:2" ht="12.9" x14ac:dyDescent="0.35">
      <c r="A2751" s="401">
        <v>42570</v>
      </c>
      <c r="B2751" s="403">
        <v>1.3584345336266801E+18</v>
      </c>
    </row>
    <row r="2752" spans="1:2" ht="12.9" x14ac:dyDescent="0.35">
      <c r="A2752" s="401">
        <v>42571</v>
      </c>
      <c r="B2752" s="403">
        <v>1.59191546909377E+18</v>
      </c>
    </row>
    <row r="2753" spans="1:2" ht="12.9" x14ac:dyDescent="0.35">
      <c r="A2753" s="401">
        <v>42572</v>
      </c>
      <c r="B2753" s="403">
        <v>1.41149838259647E+18</v>
      </c>
    </row>
    <row r="2754" spans="1:2" ht="12.9" x14ac:dyDescent="0.35">
      <c r="A2754" s="401">
        <v>42573</v>
      </c>
      <c r="B2754" s="403">
        <v>1.36904730342064E+18</v>
      </c>
    </row>
    <row r="2755" spans="1:2" ht="12.9" x14ac:dyDescent="0.35">
      <c r="A2755" s="401">
        <v>42574</v>
      </c>
      <c r="B2755" s="403">
        <v>1.3902728430085601E+18</v>
      </c>
    </row>
    <row r="2756" spans="1:2" ht="12.9" x14ac:dyDescent="0.35">
      <c r="A2756" s="401">
        <v>42575</v>
      </c>
      <c r="B2756" s="403">
        <v>1.31598345445085E+18</v>
      </c>
    </row>
    <row r="2757" spans="1:2" ht="12.9" x14ac:dyDescent="0.35">
      <c r="A2757" s="401">
        <v>42576</v>
      </c>
      <c r="B2757" s="403">
        <v>1.3902728430085601E+18</v>
      </c>
    </row>
    <row r="2758" spans="1:2" ht="12.9" x14ac:dyDescent="0.35">
      <c r="A2758" s="401">
        <v>42577</v>
      </c>
      <c r="B2758" s="403">
        <v>1.36904730342064E+18</v>
      </c>
    </row>
    <row r="2759" spans="1:2" ht="12.9" x14ac:dyDescent="0.35">
      <c r="A2759" s="401">
        <v>42578</v>
      </c>
      <c r="B2759" s="403">
        <v>1.3584345336266801E+18</v>
      </c>
    </row>
    <row r="2760" spans="1:2" ht="12.9" x14ac:dyDescent="0.35">
      <c r="A2760" s="401">
        <v>42579</v>
      </c>
      <c r="B2760" s="403">
        <v>1.4433366919783501E+18</v>
      </c>
    </row>
    <row r="2761" spans="1:2" ht="12.9" x14ac:dyDescent="0.35">
      <c r="A2761" s="401">
        <v>42580</v>
      </c>
      <c r="B2761" s="403">
        <v>1.5600771597118899E+18</v>
      </c>
    </row>
    <row r="2762" spans="1:2" ht="12.9" x14ac:dyDescent="0.35">
      <c r="A2762" s="401">
        <v>42581</v>
      </c>
      <c r="B2762" s="403">
        <v>1.2629196054810501E+18</v>
      </c>
    </row>
    <row r="2763" spans="1:2" ht="12.9" x14ac:dyDescent="0.35">
      <c r="A2763" s="401">
        <v>42582</v>
      </c>
      <c r="B2763" s="403">
        <v>1.6343665482696E+18</v>
      </c>
    </row>
    <row r="2764" spans="1:2" ht="12.9" x14ac:dyDescent="0.35">
      <c r="A2764" s="401">
        <v>42583</v>
      </c>
      <c r="B2764" s="403">
        <v>1.6237537784756401E+18</v>
      </c>
    </row>
    <row r="2765" spans="1:2" ht="12.9" x14ac:dyDescent="0.35">
      <c r="A2765" s="401">
        <v>42584</v>
      </c>
      <c r="B2765" s="403">
        <v>1.6343665482696E+18</v>
      </c>
    </row>
    <row r="2766" spans="1:2" ht="12.9" x14ac:dyDescent="0.35">
      <c r="A2766" s="401">
        <v>42585</v>
      </c>
      <c r="B2766" s="403">
        <v>1.6660035473509399E+18</v>
      </c>
    </row>
    <row r="2767" spans="1:2" ht="12.9" x14ac:dyDescent="0.35">
      <c r="A2767" s="401">
        <v>42586</v>
      </c>
      <c r="B2767" s="403">
        <v>1.5355333900282701E+18</v>
      </c>
    </row>
    <row r="2768" spans="1:2" ht="12.9" x14ac:dyDescent="0.35">
      <c r="A2768" s="401">
        <v>42587</v>
      </c>
      <c r="B2768" s="403">
        <v>1.6961120451946299E+18</v>
      </c>
    </row>
    <row r="2769" spans="1:2" ht="12.9" x14ac:dyDescent="0.35">
      <c r="A2769" s="401">
        <v>42588</v>
      </c>
      <c r="B2769" s="403">
        <v>1.6660035473509399E+18</v>
      </c>
    </row>
    <row r="2770" spans="1:2" ht="12.9" x14ac:dyDescent="0.35">
      <c r="A2770" s="401">
        <v>42589</v>
      </c>
      <c r="B2770" s="403">
        <v>1.48535256028879E+18</v>
      </c>
    </row>
    <row r="2771" spans="1:2" ht="12.9" x14ac:dyDescent="0.35">
      <c r="A2771" s="401">
        <v>42590</v>
      </c>
      <c r="B2771" s="403">
        <v>1.48535256028879E+18</v>
      </c>
    </row>
    <row r="2772" spans="1:2" ht="12.9" x14ac:dyDescent="0.35">
      <c r="A2772" s="401">
        <v>42591</v>
      </c>
      <c r="B2772" s="403">
        <v>1.2444845775392499E+18</v>
      </c>
    </row>
    <row r="2773" spans="1:2" ht="12.9" x14ac:dyDescent="0.35">
      <c r="A2773" s="401">
        <v>42592</v>
      </c>
      <c r="B2773" s="403">
        <v>1.51546105813248E+18</v>
      </c>
    </row>
    <row r="2774" spans="1:2" ht="12.9" x14ac:dyDescent="0.35">
      <c r="A2774" s="401">
        <v>42593</v>
      </c>
      <c r="B2774" s="403">
        <v>1.5054248921845801E+18</v>
      </c>
    </row>
    <row r="2775" spans="1:2" ht="12.9" x14ac:dyDescent="0.35">
      <c r="A2775" s="401">
        <v>42594</v>
      </c>
      <c r="B2775" s="403">
        <v>1.4953887262366799E+18</v>
      </c>
    </row>
    <row r="2776" spans="1:2" ht="12.9" x14ac:dyDescent="0.35">
      <c r="A2776" s="401">
        <v>42595</v>
      </c>
      <c r="B2776" s="403">
        <v>1.6358950495072399E+18</v>
      </c>
    </row>
    <row r="2777" spans="1:2" ht="12.9" x14ac:dyDescent="0.35">
      <c r="A2777" s="401">
        <v>42596</v>
      </c>
      <c r="B2777" s="403">
        <v>1.6358950495072399E+18</v>
      </c>
    </row>
    <row r="2778" spans="1:2" ht="12.9" x14ac:dyDescent="0.35">
      <c r="A2778" s="401">
        <v>42597</v>
      </c>
      <c r="B2778" s="403">
        <v>1.46528022839299E+18</v>
      </c>
    </row>
    <row r="2779" spans="1:2" ht="12.9" x14ac:dyDescent="0.35">
      <c r="A2779" s="401">
        <v>42598</v>
      </c>
      <c r="B2779" s="403">
        <v>1.45878217092898E+18</v>
      </c>
    </row>
    <row r="2780" spans="1:2" ht="12.9" x14ac:dyDescent="0.35">
      <c r="A2780" s="401">
        <v>42599</v>
      </c>
      <c r="B2780" s="403">
        <v>1.32911264462418E+18</v>
      </c>
    </row>
    <row r="2781" spans="1:2" ht="12.9" x14ac:dyDescent="0.35">
      <c r="A2781" s="401">
        <v>42600</v>
      </c>
      <c r="B2781" s="403">
        <v>1.6640922542449101E+18</v>
      </c>
    </row>
    <row r="2782" spans="1:2" ht="12.9" x14ac:dyDescent="0.35">
      <c r="A2782" s="401">
        <v>42601</v>
      </c>
      <c r="B2782" s="403">
        <v>1.6640922542449101E+18</v>
      </c>
    </row>
    <row r="2783" spans="1:2" ht="12.9" x14ac:dyDescent="0.35">
      <c r="A2783" s="401">
        <v>42602</v>
      </c>
      <c r="B2783" s="403">
        <v>1.6748980481036401E+18</v>
      </c>
    </row>
    <row r="2784" spans="1:2" ht="12.9" x14ac:dyDescent="0.35">
      <c r="A2784" s="401">
        <v>42603</v>
      </c>
      <c r="B2784" s="403">
        <v>1.7613443989735099E+18</v>
      </c>
    </row>
    <row r="2785" spans="1:2" ht="12.9" x14ac:dyDescent="0.35">
      <c r="A2785" s="401">
        <v>42604</v>
      </c>
      <c r="B2785" s="403">
        <v>1.70731542967984E+18</v>
      </c>
    </row>
    <row r="2786" spans="1:2" ht="12.9" x14ac:dyDescent="0.35">
      <c r="A2786" s="401">
        <v>42605</v>
      </c>
      <c r="B2786" s="403">
        <v>1.58845169723378E+18</v>
      </c>
    </row>
    <row r="2787" spans="1:2" ht="12.9" x14ac:dyDescent="0.35">
      <c r="A2787" s="401">
        <v>42606</v>
      </c>
      <c r="B2787" s="403">
        <v>1.6424806665274399E+18</v>
      </c>
    </row>
    <row r="2788" spans="1:2" ht="12.9" x14ac:dyDescent="0.35">
      <c r="A2788" s="401">
        <v>42607</v>
      </c>
      <c r="B2788" s="403">
        <v>1.4047532016353101E+18</v>
      </c>
    </row>
    <row r="2789" spans="1:2" ht="12.9" x14ac:dyDescent="0.35">
      <c r="A2789" s="401">
        <v>42608</v>
      </c>
      <c r="B2789" s="403">
        <v>1.42636478935278E+18</v>
      </c>
    </row>
    <row r="2790" spans="1:2" ht="12.9" x14ac:dyDescent="0.35">
      <c r="A2790" s="401">
        <v>42609</v>
      </c>
      <c r="B2790" s="403">
        <v>1.55603431565758E+18</v>
      </c>
    </row>
    <row r="2791" spans="1:2" ht="12.9" x14ac:dyDescent="0.35">
      <c r="A2791" s="401">
        <v>42610</v>
      </c>
      <c r="B2791" s="403">
        <v>1.6424806665274399E+18</v>
      </c>
    </row>
    <row r="2792" spans="1:2" ht="12.9" x14ac:dyDescent="0.35">
      <c r="A2792" s="401">
        <v>42611</v>
      </c>
      <c r="B2792" s="403">
        <v>1.6100632849512399E+18</v>
      </c>
    </row>
    <row r="2793" spans="1:2" ht="12.9" x14ac:dyDescent="0.35">
      <c r="A2793" s="401">
        <v>42612</v>
      </c>
      <c r="B2793" s="403">
        <v>1.7997090589715999E+18</v>
      </c>
    </row>
    <row r="2794" spans="1:2" ht="12.9" x14ac:dyDescent="0.35">
      <c r="A2794" s="401">
        <v>42613</v>
      </c>
      <c r="B2794" s="403">
        <v>1.4704939872085E+18</v>
      </c>
    </row>
    <row r="2795" spans="1:2" ht="12.9" x14ac:dyDescent="0.35">
      <c r="A2795" s="401">
        <v>42614</v>
      </c>
      <c r="B2795" s="403">
        <v>1.53633700156112E+18</v>
      </c>
    </row>
    <row r="2796" spans="1:2" ht="12.9" x14ac:dyDescent="0.35">
      <c r="A2796" s="401">
        <v>42615</v>
      </c>
      <c r="B2796" s="403">
        <v>1.6789968659917901E+18</v>
      </c>
    </row>
    <row r="2797" spans="1:2" ht="12.9" x14ac:dyDescent="0.35">
      <c r="A2797" s="401">
        <v>42616</v>
      </c>
      <c r="B2797" s="403">
        <v>1.3827033014050099E+18</v>
      </c>
    </row>
    <row r="2798" spans="1:2" ht="12.9" x14ac:dyDescent="0.35">
      <c r="A2798" s="401">
        <v>42617</v>
      </c>
      <c r="B2798" s="403">
        <v>1.96431659485315E+18</v>
      </c>
    </row>
    <row r="2799" spans="1:2" ht="12.9" x14ac:dyDescent="0.35">
      <c r="A2799" s="401">
        <v>42618</v>
      </c>
      <c r="B2799" s="403">
        <v>1.53633700156112E+18</v>
      </c>
    </row>
    <row r="2800" spans="1:2" ht="12.9" x14ac:dyDescent="0.35">
      <c r="A2800" s="401">
        <v>42619</v>
      </c>
      <c r="B2800" s="403">
        <v>1.49244165865937E+18</v>
      </c>
    </row>
    <row r="2801" spans="1:2" ht="12.9" x14ac:dyDescent="0.35">
      <c r="A2801" s="401">
        <v>42620</v>
      </c>
      <c r="B2801" s="403">
        <v>1.6680230302663601E+18</v>
      </c>
    </row>
    <row r="2802" spans="1:2" ht="12.9" x14ac:dyDescent="0.35">
      <c r="A2802" s="401">
        <v>42621</v>
      </c>
      <c r="B2802" s="403">
        <v>1.58023234446286E+18</v>
      </c>
    </row>
    <row r="2803" spans="1:2" ht="12.9" x14ac:dyDescent="0.35">
      <c r="A2803" s="401">
        <v>42622</v>
      </c>
      <c r="B2803" s="403">
        <v>1.55828467301199E+18</v>
      </c>
    </row>
    <row r="2804" spans="1:2" ht="12.9" x14ac:dyDescent="0.35">
      <c r="A2804" s="401">
        <v>42623</v>
      </c>
      <c r="B2804" s="403">
        <v>1.7009445374426701E+18</v>
      </c>
    </row>
    <row r="2805" spans="1:2" ht="12.9" x14ac:dyDescent="0.35">
      <c r="A2805" s="401">
        <v>42624</v>
      </c>
      <c r="B2805" s="403">
        <v>1.7997090589715999E+18</v>
      </c>
    </row>
    <row r="2806" spans="1:2" ht="12.9" x14ac:dyDescent="0.35">
      <c r="A2806" s="401">
        <v>42625</v>
      </c>
      <c r="B2806" s="403">
        <v>1.82987271366576E+18</v>
      </c>
    </row>
    <row r="2807" spans="1:2" ht="12.9" x14ac:dyDescent="0.35">
      <c r="A2807" s="401">
        <v>42626</v>
      </c>
      <c r="B2807" s="403">
        <v>1.85232513960031E+18</v>
      </c>
    </row>
    <row r="2808" spans="1:2" ht="12.9" x14ac:dyDescent="0.35">
      <c r="A2808" s="401">
        <v>42627</v>
      </c>
      <c r="B2808" s="403">
        <v>1.7512892228948401E+18</v>
      </c>
    </row>
    <row r="2809" spans="1:2" ht="12.9" x14ac:dyDescent="0.35">
      <c r="A2809" s="401">
        <v>42628</v>
      </c>
      <c r="B2809" s="403">
        <v>1.72883679696029E+18</v>
      </c>
    </row>
    <row r="2810" spans="1:2" ht="12.9" x14ac:dyDescent="0.35">
      <c r="A2810" s="401">
        <v>42629</v>
      </c>
      <c r="B2810" s="403">
        <v>1.56044360245117E+18</v>
      </c>
    </row>
    <row r="2811" spans="1:2" ht="12.9" x14ac:dyDescent="0.35">
      <c r="A2811" s="401">
        <v>42630</v>
      </c>
      <c r="B2811" s="403">
        <v>1.82987271366576E+18</v>
      </c>
    </row>
    <row r="2812" spans="1:2" ht="12.9" x14ac:dyDescent="0.35">
      <c r="A2812" s="401">
        <v>42631</v>
      </c>
      <c r="B2812" s="403">
        <v>1.6278008802548201E+18</v>
      </c>
    </row>
    <row r="2813" spans="1:2" ht="12.9" x14ac:dyDescent="0.35">
      <c r="A2813" s="401">
        <v>42632</v>
      </c>
      <c r="B2813" s="403">
        <v>1.49308632464752E+18</v>
      </c>
    </row>
    <row r="2814" spans="1:2" ht="12.9" x14ac:dyDescent="0.35">
      <c r="A2814" s="401">
        <v>42633</v>
      </c>
      <c r="B2814" s="403">
        <v>1.6951581580584699E+18</v>
      </c>
    </row>
    <row r="2815" spans="1:2" ht="12.9" x14ac:dyDescent="0.35">
      <c r="A2815" s="401">
        <v>42634</v>
      </c>
      <c r="B2815" s="403">
        <v>1.8635513525675899E+18</v>
      </c>
    </row>
    <row r="2816" spans="1:2" ht="12.9" x14ac:dyDescent="0.35">
      <c r="A2816" s="401">
        <v>42635</v>
      </c>
      <c r="B2816" s="403">
        <v>1.5828960283857201E+18</v>
      </c>
    </row>
    <row r="2817" spans="1:2" ht="12.9" x14ac:dyDescent="0.35">
      <c r="A2817" s="401">
        <v>42636</v>
      </c>
      <c r="B2817" s="403">
        <v>1.5267649635493499E+18</v>
      </c>
    </row>
    <row r="2818" spans="1:2" ht="12.9" x14ac:dyDescent="0.35">
      <c r="A2818" s="401">
        <v>42637</v>
      </c>
      <c r="B2818" s="403">
        <v>1.8635513525675899E+18</v>
      </c>
    </row>
    <row r="2819" spans="1:2" ht="12.9" x14ac:dyDescent="0.35">
      <c r="A2819" s="401">
        <v>42638</v>
      </c>
      <c r="B2819" s="403">
        <v>2.2184217956051899E+18</v>
      </c>
    </row>
    <row r="2820" spans="1:2" ht="12.9" x14ac:dyDescent="0.35">
      <c r="A2820" s="401">
        <v>42639</v>
      </c>
      <c r="B2820" s="403">
        <v>1.8346947823113201E+18</v>
      </c>
    </row>
    <row r="2821" spans="1:2" ht="12.9" x14ac:dyDescent="0.35">
      <c r="A2821" s="401">
        <v>42640</v>
      </c>
      <c r="B2821" s="403">
        <v>2.00257535062739E+18</v>
      </c>
    </row>
    <row r="2822" spans="1:2" ht="12.9" x14ac:dyDescent="0.35">
      <c r="A2822" s="401">
        <v>42641</v>
      </c>
      <c r="B2822" s="403">
        <v>1.77473743648415E+18</v>
      </c>
    </row>
    <row r="2823" spans="1:2" ht="12.9" x14ac:dyDescent="0.35">
      <c r="A2823" s="401">
        <v>42642</v>
      </c>
      <c r="B2823" s="403">
        <v>1.71478009065699E+18</v>
      </c>
    </row>
    <row r="2824" spans="1:2" ht="12.9" x14ac:dyDescent="0.35">
      <c r="A2824" s="401">
        <v>42643</v>
      </c>
      <c r="B2824" s="403">
        <v>1.70278862149155E+18</v>
      </c>
    </row>
    <row r="2825" spans="1:2" ht="12.9" x14ac:dyDescent="0.35">
      <c r="A2825" s="401">
        <v>42644</v>
      </c>
      <c r="B2825" s="403">
        <v>1.8826606589730601E+18</v>
      </c>
    </row>
    <row r="2826" spans="1:2" ht="12.9" x14ac:dyDescent="0.35">
      <c r="A2826" s="401">
        <v>42645</v>
      </c>
      <c r="B2826" s="403">
        <v>1.6907971523261199E+18</v>
      </c>
    </row>
    <row r="2827" spans="1:2" ht="12.9" x14ac:dyDescent="0.35">
      <c r="A2827" s="401">
        <v>42646</v>
      </c>
      <c r="B2827" s="403">
        <v>1.81071184398045E+18</v>
      </c>
    </row>
    <row r="2828" spans="1:2" ht="12.9" x14ac:dyDescent="0.35">
      <c r="A2828" s="401">
        <v>42647</v>
      </c>
      <c r="B2828" s="403">
        <v>1.8946521281384901E+18</v>
      </c>
    </row>
    <row r="2829" spans="1:2" ht="12.9" x14ac:dyDescent="0.35">
      <c r="A2829" s="401">
        <v>42648</v>
      </c>
      <c r="B2829" s="403">
        <v>2.00257535062739E+18</v>
      </c>
    </row>
    <row r="2830" spans="1:2" ht="12.9" x14ac:dyDescent="0.35">
      <c r="A2830" s="401">
        <v>42649</v>
      </c>
      <c r="B2830" s="403">
        <v>1.9306265356347899E+18</v>
      </c>
    </row>
    <row r="2831" spans="1:2" ht="12.9" x14ac:dyDescent="0.35">
      <c r="A2831" s="401">
        <v>42650</v>
      </c>
      <c r="B2831" s="403">
        <v>1.71478009065699E+18</v>
      </c>
    </row>
    <row r="2832" spans="1:2" ht="12.9" x14ac:dyDescent="0.35">
      <c r="A2832" s="401">
        <v>42651</v>
      </c>
      <c r="B2832" s="403">
        <v>2.17185880433024E+18</v>
      </c>
    </row>
    <row r="2833" spans="1:2" ht="12.9" x14ac:dyDescent="0.35">
      <c r="A2833" s="401">
        <v>42652</v>
      </c>
      <c r="B2833" s="403">
        <v>2.0561976845730099E+18</v>
      </c>
    </row>
    <row r="2834" spans="1:2" ht="12.9" x14ac:dyDescent="0.35">
      <c r="A2834" s="401">
        <v>42653</v>
      </c>
      <c r="B2834" s="403">
        <v>1.5935532055440799E+18</v>
      </c>
    </row>
    <row r="2835" spans="1:2" ht="12.9" x14ac:dyDescent="0.35">
      <c r="A2835" s="401">
        <v>42654</v>
      </c>
      <c r="B2835" s="403">
        <v>1.7863217384728E+18</v>
      </c>
    </row>
    <row r="2836" spans="1:2" ht="12.9" x14ac:dyDescent="0.35">
      <c r="A2836" s="401">
        <v>42655</v>
      </c>
      <c r="B2836" s="403">
        <v>1.85057791611571E+18</v>
      </c>
    </row>
    <row r="2837" spans="1:2" ht="12.9" x14ac:dyDescent="0.35">
      <c r="A2837" s="401">
        <v>42656</v>
      </c>
      <c r="B2837" s="403">
        <v>1.64495814765841E+18</v>
      </c>
    </row>
    <row r="2838" spans="1:2" ht="12.9" x14ac:dyDescent="0.35">
      <c r="A2838" s="401">
        <v>42657</v>
      </c>
      <c r="B2838" s="403">
        <v>1.74776803188706E+18</v>
      </c>
    </row>
    <row r="2839" spans="1:2" ht="12.9" x14ac:dyDescent="0.35">
      <c r="A2839" s="401">
        <v>42658</v>
      </c>
      <c r="B2839" s="403">
        <v>1.82487544505855E+18</v>
      </c>
    </row>
    <row r="2840" spans="1:2" ht="12.9" x14ac:dyDescent="0.35">
      <c r="A2840" s="401">
        <v>42659</v>
      </c>
      <c r="B2840" s="403">
        <v>1.6706606187155699E+18</v>
      </c>
    </row>
    <row r="2841" spans="1:2" ht="12.9" x14ac:dyDescent="0.35">
      <c r="A2841" s="401">
        <v>42660</v>
      </c>
      <c r="B2841" s="403">
        <v>1.60640444107266E+18</v>
      </c>
    </row>
    <row r="2842" spans="1:2" ht="12.9" x14ac:dyDescent="0.35">
      <c r="A2842" s="401">
        <v>42661</v>
      </c>
      <c r="B2842" s="403">
        <v>1.9919415069301E+18</v>
      </c>
    </row>
    <row r="2843" spans="1:2" ht="12.9" x14ac:dyDescent="0.35">
      <c r="A2843" s="401">
        <v>42662</v>
      </c>
      <c r="B2843" s="403">
        <v>1.60640444107266E+18</v>
      </c>
    </row>
    <row r="2844" spans="1:2" ht="12.9" x14ac:dyDescent="0.35">
      <c r="A2844" s="401">
        <v>42663</v>
      </c>
      <c r="B2844" s="403">
        <v>1.7220655608299E+18</v>
      </c>
    </row>
    <row r="2845" spans="1:2" ht="12.9" x14ac:dyDescent="0.35">
      <c r="A2845" s="401">
        <v>42664</v>
      </c>
      <c r="B2845" s="403">
        <v>2.10760262668734E+18</v>
      </c>
    </row>
    <row r="2846" spans="1:2" ht="12.9" x14ac:dyDescent="0.35">
      <c r="A2846" s="401">
        <v>42665</v>
      </c>
      <c r="B2846" s="403">
        <v>1.9148340937586199E+18</v>
      </c>
    </row>
    <row r="2847" spans="1:2" ht="12.9" x14ac:dyDescent="0.35">
      <c r="A2847" s="401">
        <v>42666</v>
      </c>
      <c r="B2847" s="403">
        <v>1.8154701249901E+18</v>
      </c>
    </row>
    <row r="2848" spans="1:2" ht="12.9" x14ac:dyDescent="0.35">
      <c r="A2848" s="401">
        <v>42667</v>
      </c>
      <c r="B2848" s="403">
        <v>1.80286269356656E+18</v>
      </c>
    </row>
    <row r="2849" spans="1:2" ht="12.9" x14ac:dyDescent="0.35">
      <c r="A2849" s="401">
        <v>42668</v>
      </c>
      <c r="B2849" s="403">
        <v>1.7524329678723899E+18</v>
      </c>
    </row>
    <row r="2850" spans="1:2" ht="12.9" x14ac:dyDescent="0.35">
      <c r="A2850" s="401">
        <v>42669</v>
      </c>
      <c r="B2850" s="403">
        <v>1.7398255364488399E+18</v>
      </c>
    </row>
    <row r="2851" spans="1:2" ht="12.9" x14ac:dyDescent="0.35">
      <c r="A2851" s="401">
        <v>42670</v>
      </c>
      <c r="B2851" s="403">
        <v>2.0424038906138601E+18</v>
      </c>
    </row>
    <row r="2852" spans="1:2" ht="12.9" x14ac:dyDescent="0.35">
      <c r="A2852" s="401">
        <v>42671</v>
      </c>
      <c r="B2852" s="403">
        <v>1.9163295763784399E+18</v>
      </c>
    </row>
    <row r="2853" spans="1:2" ht="12.9" x14ac:dyDescent="0.35">
      <c r="A2853" s="401">
        <v>42672</v>
      </c>
      <c r="B2853" s="403">
        <v>1.87850728210781E+18</v>
      </c>
    </row>
    <row r="2854" spans="1:2" ht="12.9" x14ac:dyDescent="0.35">
      <c r="A2854" s="401">
        <v>42673</v>
      </c>
      <c r="B2854" s="403">
        <v>2.1180484791551099E+18</v>
      </c>
    </row>
    <row r="2855" spans="1:2" ht="12.9" x14ac:dyDescent="0.35">
      <c r="A2855" s="401">
        <v>42674</v>
      </c>
      <c r="B2855" s="403">
        <v>1.8532924192607201E+18</v>
      </c>
    </row>
    <row r="2856" spans="1:2" ht="12.9" x14ac:dyDescent="0.35">
      <c r="A2856" s="401">
        <v>42675</v>
      </c>
      <c r="B2856" s="403">
        <v>1.8154701249901E+18</v>
      </c>
    </row>
    <row r="2857" spans="1:2" ht="12.9" x14ac:dyDescent="0.35">
      <c r="A2857" s="401">
        <v>42676</v>
      </c>
      <c r="B2857" s="403">
        <v>1.6767883793311301E+18</v>
      </c>
    </row>
    <row r="2858" spans="1:2" ht="12.9" x14ac:dyDescent="0.35">
      <c r="A2858" s="401">
        <v>42677</v>
      </c>
      <c r="B2858" s="403">
        <v>1.9541518706490601E+18</v>
      </c>
    </row>
    <row r="2859" spans="1:2" ht="12.9" x14ac:dyDescent="0.35">
      <c r="A2859" s="401">
        <v>42678</v>
      </c>
      <c r="B2859" s="403">
        <v>1.46246204513091E+18</v>
      </c>
    </row>
    <row r="2860" spans="1:2" ht="12.9" x14ac:dyDescent="0.35">
      <c r="A2860" s="401">
        <v>42679</v>
      </c>
      <c r="B2860" s="403">
        <v>1.8532924192607201E+18</v>
      </c>
    </row>
    <row r="2861" spans="1:2" ht="12.9" x14ac:dyDescent="0.35">
      <c r="A2861" s="401">
        <v>42680</v>
      </c>
      <c r="B2861" s="403">
        <v>1.9365574390968399E+18</v>
      </c>
    </row>
    <row r="2862" spans="1:2" ht="12.9" x14ac:dyDescent="0.35">
      <c r="A2862" s="401">
        <v>42681</v>
      </c>
      <c r="B2862" s="403">
        <v>1.84795677194862E+18</v>
      </c>
    </row>
    <row r="2863" spans="1:2" ht="12.9" x14ac:dyDescent="0.35">
      <c r="A2863" s="401">
        <v>42682</v>
      </c>
      <c r="B2863" s="403">
        <v>2.1390732497213499E+18</v>
      </c>
    </row>
    <row r="2864" spans="1:2" ht="12.9" x14ac:dyDescent="0.35">
      <c r="A2864" s="401">
        <v>42683</v>
      </c>
      <c r="B2864" s="403">
        <v>1.86061401011265E+18</v>
      </c>
    </row>
    <row r="2865" spans="1:2" ht="12.9" x14ac:dyDescent="0.35">
      <c r="A2865" s="401">
        <v>42684</v>
      </c>
      <c r="B2865" s="403">
        <v>2.1264160115573199E+18</v>
      </c>
    </row>
    <row r="2866" spans="1:2" ht="12.9" x14ac:dyDescent="0.35">
      <c r="A2866" s="401">
        <v>42685</v>
      </c>
      <c r="B2866" s="403">
        <v>2.0631298207371599E+18</v>
      </c>
    </row>
    <row r="2867" spans="1:2" ht="12.9" x14ac:dyDescent="0.35">
      <c r="A2867" s="401">
        <v>42686</v>
      </c>
      <c r="B2867" s="403">
        <v>2.1264160115573199E+18</v>
      </c>
    </row>
    <row r="2868" spans="1:2" ht="12.9" x14ac:dyDescent="0.35">
      <c r="A2868" s="401">
        <v>42687</v>
      </c>
      <c r="B2868" s="403">
        <v>1.79732781929249E+18</v>
      </c>
    </row>
    <row r="2869" spans="1:2" ht="12.9" x14ac:dyDescent="0.35">
      <c r="A2869" s="401">
        <v>42688</v>
      </c>
      <c r="B2869" s="403">
        <v>2.17704496421344E+18</v>
      </c>
    </row>
    <row r="2870" spans="1:2" ht="12.9" x14ac:dyDescent="0.35">
      <c r="A2870" s="401">
        <v>42689</v>
      </c>
      <c r="B2870" s="403">
        <v>1.97452915358894E+18</v>
      </c>
    </row>
    <row r="2871" spans="1:2" ht="12.9" x14ac:dyDescent="0.35">
      <c r="A2871" s="401">
        <v>42690</v>
      </c>
      <c r="B2871" s="403">
        <v>2.16438772604941E+18</v>
      </c>
    </row>
    <row r="2872" spans="1:2" ht="12.9" x14ac:dyDescent="0.35">
      <c r="A2872" s="401">
        <v>42691</v>
      </c>
      <c r="B2872" s="403">
        <v>2.0125008680810299E+18</v>
      </c>
    </row>
    <row r="2873" spans="1:2" ht="12.9" x14ac:dyDescent="0.35">
      <c r="A2873" s="401">
        <v>42692</v>
      </c>
      <c r="B2873" s="403">
        <v>2.0732431371814999E+18</v>
      </c>
    </row>
    <row r="2874" spans="1:2" ht="12.9" x14ac:dyDescent="0.35">
      <c r="A2874" s="401">
        <v>42693</v>
      </c>
      <c r="B2874" s="403">
        <v>1.9891927397281999E+18</v>
      </c>
    </row>
    <row r="2875" spans="1:2" ht="12.9" x14ac:dyDescent="0.35">
      <c r="A2875" s="401">
        <v>42694</v>
      </c>
      <c r="B2875" s="403">
        <v>1.7930751456704901E+18</v>
      </c>
    </row>
    <row r="2876" spans="1:2" ht="12.9" x14ac:dyDescent="0.35">
      <c r="A2876" s="401">
        <v>42695</v>
      </c>
      <c r="B2876" s="403">
        <v>1.9471675410015401E+18</v>
      </c>
    </row>
    <row r="2877" spans="1:2" ht="12.9" x14ac:dyDescent="0.35">
      <c r="A2877" s="401">
        <v>42696</v>
      </c>
      <c r="B2877" s="403">
        <v>1.8771255431237901E+18</v>
      </c>
    </row>
    <row r="2878" spans="1:2" ht="12.9" x14ac:dyDescent="0.35">
      <c r="A2878" s="401">
        <v>42697</v>
      </c>
      <c r="B2878" s="403">
        <v>2.05923473760595E+18</v>
      </c>
    </row>
    <row r="2879" spans="1:2" ht="12.9" x14ac:dyDescent="0.35">
      <c r="A2879" s="401">
        <v>42698</v>
      </c>
      <c r="B2879" s="403">
        <v>2.26936073123921E+18</v>
      </c>
    </row>
    <row r="2880" spans="1:2" ht="12.9" x14ac:dyDescent="0.35">
      <c r="A2880" s="401">
        <v>42699</v>
      </c>
      <c r="B2880" s="403">
        <v>2.1292767354837E+18</v>
      </c>
    </row>
    <row r="2881" spans="1:2" ht="12.9" x14ac:dyDescent="0.35">
      <c r="A2881" s="401">
        <v>42700</v>
      </c>
      <c r="B2881" s="403">
        <v>2.1432851350592499E+18</v>
      </c>
    </row>
    <row r="2882" spans="1:2" ht="12.9" x14ac:dyDescent="0.35">
      <c r="A2882" s="401">
        <v>42701</v>
      </c>
      <c r="B2882" s="403">
        <v>2.0172095388793001E+18</v>
      </c>
    </row>
    <row r="2883" spans="1:2" ht="12.9" x14ac:dyDescent="0.35">
      <c r="A2883" s="401">
        <v>42702</v>
      </c>
      <c r="B2883" s="403">
        <v>2.2973775303903099E+18</v>
      </c>
    </row>
    <row r="2884" spans="1:2" ht="12.9" x14ac:dyDescent="0.35">
      <c r="A2884" s="401">
        <v>42703</v>
      </c>
      <c r="B2884" s="403">
        <v>2.0872515367570501E+18</v>
      </c>
    </row>
    <row r="2885" spans="1:2" ht="12.9" x14ac:dyDescent="0.35">
      <c r="A2885" s="401">
        <v>42704</v>
      </c>
      <c r="B2885" s="403">
        <v>1.9891927397281999E+18</v>
      </c>
    </row>
    <row r="2886" spans="1:2" ht="12.9" x14ac:dyDescent="0.35">
      <c r="A2886" s="401">
        <v>42705</v>
      </c>
      <c r="B2886" s="403">
        <v>2.0452263380304E+18</v>
      </c>
    </row>
    <row r="2887" spans="1:2" ht="12.9" x14ac:dyDescent="0.35">
      <c r="A2887" s="401">
        <v>42706</v>
      </c>
      <c r="B2887" s="403">
        <v>2.03849411325517E+18</v>
      </c>
    </row>
    <row r="2888" spans="1:2" ht="12.9" x14ac:dyDescent="0.35">
      <c r="A2888" s="401">
        <v>42707</v>
      </c>
      <c r="B2888" s="403">
        <v>2.45189501734189E+18</v>
      </c>
    </row>
    <row r="2889" spans="1:2" ht="12.9" x14ac:dyDescent="0.35">
      <c r="A2889" s="401">
        <v>42708</v>
      </c>
      <c r="B2889" s="403">
        <v>2.1097701312011599E+18</v>
      </c>
    </row>
    <row r="2890" spans="1:2" ht="12.9" x14ac:dyDescent="0.35">
      <c r="A2890" s="401">
        <v>42709</v>
      </c>
      <c r="B2890" s="403">
        <v>2.16679094555794E+18</v>
      </c>
    </row>
    <row r="2891" spans="1:2" ht="12.9" x14ac:dyDescent="0.35">
      <c r="A2891" s="401">
        <v>42710</v>
      </c>
      <c r="B2891" s="403">
        <v>2.13828053837955E+18</v>
      </c>
    </row>
    <row r="2892" spans="1:2" ht="12.9" x14ac:dyDescent="0.35">
      <c r="A2892" s="401">
        <v>42711</v>
      </c>
      <c r="B2892" s="403">
        <v>2.4804054245202801E+18</v>
      </c>
    </row>
    <row r="2893" spans="1:2" ht="12.9" x14ac:dyDescent="0.35">
      <c r="A2893" s="401">
        <v>42712</v>
      </c>
      <c r="B2893" s="403">
        <v>2.2380669635039301E+18</v>
      </c>
    </row>
    <row r="2894" spans="1:2" ht="12.9" x14ac:dyDescent="0.35">
      <c r="A2894" s="401">
        <v>42713</v>
      </c>
      <c r="B2894" s="403">
        <v>1.9244524845416E+18</v>
      </c>
    </row>
    <row r="2895" spans="1:2" ht="12.9" x14ac:dyDescent="0.35">
      <c r="A2895" s="401">
        <v>42714</v>
      </c>
      <c r="B2895" s="403">
        <v>1.8816868737740001E+18</v>
      </c>
    </row>
    <row r="2896" spans="1:2" ht="12.9" x14ac:dyDescent="0.35">
      <c r="A2896" s="401">
        <v>42715</v>
      </c>
      <c r="B2896" s="403">
        <v>2.66572307117984E+18</v>
      </c>
    </row>
    <row r="2897" spans="1:2" ht="12.9" x14ac:dyDescent="0.35">
      <c r="A2897" s="401">
        <v>42716</v>
      </c>
      <c r="B2897" s="403">
        <v>2.22381175991473E+18</v>
      </c>
    </row>
    <row r="2898" spans="1:2" ht="12.9" x14ac:dyDescent="0.35">
      <c r="A2898" s="401">
        <v>42717</v>
      </c>
      <c r="B2898" s="403">
        <v>2.5374262388770698E+18</v>
      </c>
    </row>
    <row r="2899" spans="1:2" ht="12.9" x14ac:dyDescent="0.35">
      <c r="A2899" s="401">
        <v>42718</v>
      </c>
      <c r="B2899" s="403">
        <v>1.98147329889838E+18</v>
      </c>
    </row>
    <row r="2900" spans="1:2" ht="12.9" x14ac:dyDescent="0.35">
      <c r="A2900" s="401">
        <v>42719</v>
      </c>
      <c r="B2900" s="403">
        <v>1.95806463779823E+18</v>
      </c>
    </row>
    <row r="2901" spans="1:2" ht="12.9" x14ac:dyDescent="0.35">
      <c r="A2901" s="401">
        <v>42720</v>
      </c>
      <c r="B2901" s="403">
        <v>2.05057162856035E+18</v>
      </c>
    </row>
    <row r="2902" spans="1:2" ht="12.9" x14ac:dyDescent="0.35">
      <c r="A2902" s="401">
        <v>42721</v>
      </c>
      <c r="B2902" s="403">
        <v>2.22016777829091E+18</v>
      </c>
    </row>
    <row r="2903" spans="1:2" ht="12.9" x14ac:dyDescent="0.35">
      <c r="A2903" s="401">
        <v>42722</v>
      </c>
      <c r="B2903" s="403">
        <v>2.1739142829098501E+18</v>
      </c>
    </row>
    <row r="2904" spans="1:2" ht="12.9" x14ac:dyDescent="0.35">
      <c r="A2904" s="401">
        <v>42723</v>
      </c>
      <c r="B2904" s="403">
        <v>2.32809260084672E+18</v>
      </c>
    </row>
    <row r="2905" spans="1:2" ht="12.9" x14ac:dyDescent="0.35">
      <c r="A2905" s="401">
        <v>42724</v>
      </c>
      <c r="B2905" s="403">
        <v>2.12766078752879E+18</v>
      </c>
    </row>
    <row r="2906" spans="1:2" ht="12.9" x14ac:dyDescent="0.35">
      <c r="A2906" s="401">
        <v>42725</v>
      </c>
      <c r="B2906" s="403">
        <v>2.4514352551962102E+18</v>
      </c>
    </row>
    <row r="2907" spans="1:2" ht="12.9" x14ac:dyDescent="0.35">
      <c r="A2907" s="401">
        <v>42726</v>
      </c>
      <c r="B2907" s="403">
        <v>2.4514352551962102E+18</v>
      </c>
    </row>
    <row r="2908" spans="1:2" ht="12.9" x14ac:dyDescent="0.35">
      <c r="A2908" s="401">
        <v>42727</v>
      </c>
      <c r="B2908" s="403">
        <v>2.3435104326403999E+18</v>
      </c>
    </row>
    <row r="2909" spans="1:2" ht="12.9" x14ac:dyDescent="0.35">
      <c r="A2909" s="401">
        <v>42728</v>
      </c>
      <c r="B2909" s="403">
        <v>2.1122429557350999E+18</v>
      </c>
    </row>
    <row r="2910" spans="1:2" ht="12.9" x14ac:dyDescent="0.35">
      <c r="A2910" s="401">
        <v>42729</v>
      </c>
      <c r="B2910" s="403">
        <v>2.5439422459583299E+18</v>
      </c>
    </row>
    <row r="2911" spans="1:2" ht="12.9" x14ac:dyDescent="0.35">
      <c r="A2911" s="401">
        <v>42730</v>
      </c>
      <c r="B2911" s="403">
        <v>2.18933211470353E+18</v>
      </c>
    </row>
    <row r="2912" spans="1:2" ht="12.9" x14ac:dyDescent="0.35">
      <c r="A2912" s="401">
        <v>42731</v>
      </c>
      <c r="B2912" s="403">
        <v>2.4051817598151501E+18</v>
      </c>
    </row>
    <row r="2913" spans="1:2" ht="12.9" x14ac:dyDescent="0.35">
      <c r="A2913" s="401">
        <v>42732</v>
      </c>
      <c r="B2913" s="403">
        <v>2.52852441416465E+18</v>
      </c>
    </row>
    <row r="2914" spans="1:2" ht="12.9" x14ac:dyDescent="0.35">
      <c r="A2914" s="401">
        <v>42733</v>
      </c>
      <c r="B2914" s="403">
        <v>2.36885640597071E+18</v>
      </c>
    </row>
    <row r="2915" spans="1:2" ht="12.9" x14ac:dyDescent="0.35">
      <c r="A2915" s="401">
        <v>42734</v>
      </c>
      <c r="B2915" s="403">
        <v>2.4794030382493399E+18</v>
      </c>
    </row>
    <row r="2916" spans="1:2" ht="12.9" x14ac:dyDescent="0.35">
      <c r="A2916" s="401">
        <v>42735</v>
      </c>
      <c r="B2916" s="403">
        <v>2.3372716538911002E+18</v>
      </c>
    </row>
    <row r="2917" spans="1:2" ht="12.9" x14ac:dyDescent="0.35">
      <c r="A2917" s="401">
        <v>42736</v>
      </c>
      <c r="B2917" s="403">
        <v>2.4636106622095401E+18</v>
      </c>
    </row>
    <row r="2918" spans="1:2" ht="12.9" x14ac:dyDescent="0.35">
      <c r="A2918" s="401">
        <v>42737</v>
      </c>
      <c r="B2918" s="403">
        <v>2.5109877903289498E+18</v>
      </c>
    </row>
    <row r="2919" spans="1:2" ht="12.9" x14ac:dyDescent="0.35">
      <c r="A2919" s="401">
        <v>42738</v>
      </c>
      <c r="B2919" s="403">
        <v>2.5899496705279698E+18</v>
      </c>
    </row>
    <row r="2920" spans="1:2" ht="12.9" x14ac:dyDescent="0.35">
      <c r="A2920" s="401">
        <v>42739</v>
      </c>
      <c r="B2920" s="403">
        <v>2.4162335340901202E+18</v>
      </c>
    </row>
    <row r="2921" spans="1:2" ht="12.9" x14ac:dyDescent="0.35">
      <c r="A2921" s="401">
        <v>42740</v>
      </c>
      <c r="B2921" s="403">
        <v>2.21093264557266E+18</v>
      </c>
    </row>
    <row r="2922" spans="1:2" ht="12.9" x14ac:dyDescent="0.35">
      <c r="A2922" s="401">
        <v>42741</v>
      </c>
      <c r="B2922" s="403">
        <v>2.5425725424085601E+18</v>
      </c>
    </row>
    <row r="2923" spans="1:2" ht="12.9" x14ac:dyDescent="0.35">
      <c r="A2923" s="401">
        <v>42742</v>
      </c>
      <c r="B2923" s="403">
        <v>2.1793478934930501E+18</v>
      </c>
    </row>
    <row r="2924" spans="1:2" ht="12.9" x14ac:dyDescent="0.35">
      <c r="A2924" s="401">
        <v>42743</v>
      </c>
      <c r="B2924" s="403">
        <v>2.6373267986473902E+18</v>
      </c>
    </row>
    <row r="2925" spans="1:2" ht="12.9" x14ac:dyDescent="0.35">
      <c r="A2925" s="401">
        <v>42744</v>
      </c>
      <c r="B2925" s="403">
        <v>2.14776314141344E+18</v>
      </c>
    </row>
    <row r="2926" spans="1:2" ht="12.9" x14ac:dyDescent="0.35">
      <c r="A2926" s="401">
        <v>42745</v>
      </c>
      <c r="B2926" s="403">
        <v>2.5267801663687598E+18</v>
      </c>
    </row>
    <row r="2927" spans="1:2" ht="12.9" x14ac:dyDescent="0.35">
      <c r="A2927" s="401">
        <v>42746</v>
      </c>
      <c r="B2927" s="403">
        <v>2.5623501341149998E+18</v>
      </c>
    </row>
    <row r="2928" spans="1:2" ht="12.9" x14ac:dyDescent="0.35">
      <c r="A2928" s="401">
        <v>42747</v>
      </c>
      <c r="B2928" s="403">
        <v>2.88055047756719E+18</v>
      </c>
    </row>
    <row r="2929" spans="1:2" ht="12.9" x14ac:dyDescent="0.35">
      <c r="A2929" s="401">
        <v>42748</v>
      </c>
      <c r="B2929" s="403">
        <v>2.51210797462255E+18</v>
      </c>
    </row>
    <row r="2930" spans="1:2" ht="12.9" x14ac:dyDescent="0.35">
      <c r="A2930" s="401">
        <v>42749</v>
      </c>
      <c r="B2930" s="403">
        <v>2.88055047756719E+18</v>
      </c>
    </row>
    <row r="2931" spans="1:2" ht="12.9" x14ac:dyDescent="0.35">
      <c r="A2931" s="401">
        <v>42750</v>
      </c>
      <c r="B2931" s="403">
        <v>2.7968135450797798E+18</v>
      </c>
    </row>
    <row r="2932" spans="1:2" ht="12.9" x14ac:dyDescent="0.35">
      <c r="A2932" s="401">
        <v>42751</v>
      </c>
      <c r="B2932" s="403">
        <v>2.8303083180747402E+18</v>
      </c>
    </row>
    <row r="2933" spans="1:2" ht="12.9" x14ac:dyDescent="0.35">
      <c r="A2933" s="401">
        <v>42752</v>
      </c>
      <c r="B2933" s="403">
        <v>2.6460870666024202E+18</v>
      </c>
    </row>
    <row r="2934" spans="1:2" ht="12.9" x14ac:dyDescent="0.35">
      <c r="A2934" s="401">
        <v>42753</v>
      </c>
      <c r="B2934" s="403">
        <v>2.51210797462255E+18</v>
      </c>
    </row>
    <row r="2935" spans="1:2" ht="12.9" x14ac:dyDescent="0.35">
      <c r="A2935" s="401">
        <v>42754</v>
      </c>
      <c r="B2935" s="403">
        <v>2.9140452505621601E+18</v>
      </c>
    </row>
    <row r="2936" spans="1:2" ht="12.9" x14ac:dyDescent="0.35">
      <c r="A2936" s="401">
        <v>42755</v>
      </c>
      <c r="B2936" s="403">
        <v>3.1652560480244198E+18</v>
      </c>
    </row>
    <row r="2937" spans="1:2" ht="12.9" x14ac:dyDescent="0.35">
      <c r="A2937" s="401">
        <v>42756</v>
      </c>
      <c r="B2937" s="403">
        <v>3.0312769560445501E+18</v>
      </c>
    </row>
    <row r="2938" spans="1:2" ht="12.9" x14ac:dyDescent="0.35">
      <c r="A2938" s="401">
        <v>42757</v>
      </c>
      <c r="B2938" s="403">
        <v>2.9140452505621601E+18</v>
      </c>
    </row>
    <row r="2939" spans="1:2" ht="12.9" x14ac:dyDescent="0.35">
      <c r="A2939" s="401">
        <v>42758</v>
      </c>
      <c r="B2939" s="403">
        <v>2.69573474214349E+18</v>
      </c>
    </row>
    <row r="2940" spans="1:2" ht="12.9" x14ac:dyDescent="0.35">
      <c r="A2940" s="401">
        <v>42759</v>
      </c>
      <c r="B2940" s="403">
        <v>2.91061214912595E+18</v>
      </c>
    </row>
    <row r="2941" spans="1:2" ht="12.9" x14ac:dyDescent="0.35">
      <c r="A2941" s="401">
        <v>42760</v>
      </c>
      <c r="B2941" s="403">
        <v>2.91061214912595E+18</v>
      </c>
    </row>
    <row r="2942" spans="1:2" ht="12.9" x14ac:dyDescent="0.35">
      <c r="A2942" s="401">
        <v>42761</v>
      </c>
      <c r="B2942" s="403">
        <v>3.0278180074800102E+18</v>
      </c>
    </row>
    <row r="2943" spans="1:2" ht="12.9" x14ac:dyDescent="0.35">
      <c r="A2943" s="401">
        <v>42762</v>
      </c>
      <c r="B2943" s="403">
        <v>3.3208326533651702E+18</v>
      </c>
    </row>
    <row r="2944" spans="1:2" ht="12.9" x14ac:dyDescent="0.35">
      <c r="A2944" s="401">
        <v>42763</v>
      </c>
      <c r="B2944" s="403">
        <v>2.9692150783029801E+18</v>
      </c>
    </row>
    <row r="2945" spans="1:2" ht="12.9" x14ac:dyDescent="0.35">
      <c r="A2945" s="401">
        <v>42764</v>
      </c>
      <c r="B2945" s="403">
        <v>3.26222972418814E+18</v>
      </c>
    </row>
    <row r="2946" spans="1:2" ht="12.9" x14ac:dyDescent="0.35">
      <c r="A2946" s="401">
        <v>42765</v>
      </c>
      <c r="B2946" s="403">
        <v>2.8129406004975601E+18</v>
      </c>
    </row>
    <row r="2947" spans="1:2" ht="12.9" x14ac:dyDescent="0.35">
      <c r="A2947" s="401">
        <v>42766</v>
      </c>
      <c r="B2947" s="403">
        <v>2.8324749102232402E+18</v>
      </c>
    </row>
    <row r="2948" spans="1:2" ht="12.9" x14ac:dyDescent="0.35">
      <c r="A2948" s="401">
        <v>42767</v>
      </c>
      <c r="B2948" s="403">
        <v>3.7505874673300797E+18</v>
      </c>
    </row>
    <row r="2949" spans="1:2" ht="12.9" x14ac:dyDescent="0.35">
      <c r="A2949" s="401">
        <v>42768</v>
      </c>
      <c r="B2949" s="403">
        <v>3.06688662693137E+18</v>
      </c>
    </row>
    <row r="2950" spans="1:2" ht="12.9" x14ac:dyDescent="0.35">
      <c r="A2950" s="401">
        <v>42769</v>
      </c>
      <c r="B2950" s="403">
        <v>2.91061214912595E+18</v>
      </c>
    </row>
    <row r="2951" spans="1:2" ht="12.9" x14ac:dyDescent="0.35">
      <c r="A2951" s="401">
        <v>42770</v>
      </c>
      <c r="B2951" s="403">
        <v>2.8129406004975601E+18</v>
      </c>
    </row>
    <row r="2952" spans="1:2" ht="12.9" x14ac:dyDescent="0.35">
      <c r="A2952" s="401">
        <v>42771</v>
      </c>
      <c r="B2952" s="403">
        <v>3.33680782080877E+18</v>
      </c>
    </row>
    <row r="2953" spans="1:2" ht="12.9" x14ac:dyDescent="0.35">
      <c r="A2953" s="401">
        <v>42772</v>
      </c>
      <c r="B2953" s="403">
        <v>2.6232765886861399E+18</v>
      </c>
    </row>
    <row r="2954" spans="1:2" ht="12.9" x14ac:dyDescent="0.35">
      <c r="A2954" s="401">
        <v>42773</v>
      </c>
      <c r="B2954" s="403">
        <v>3.1689181191328502E+18</v>
      </c>
    </row>
    <row r="2955" spans="1:2" ht="12.9" x14ac:dyDescent="0.35">
      <c r="A2955" s="401">
        <v>42774</v>
      </c>
      <c r="B2955" s="403">
        <v>3.06398705558541E+18</v>
      </c>
    </row>
    <row r="2956" spans="1:2" ht="12.9" x14ac:dyDescent="0.35">
      <c r="A2956" s="401">
        <v>42775</v>
      </c>
      <c r="B2956" s="403">
        <v>3.54666994790366E+18</v>
      </c>
    </row>
    <row r="2957" spans="1:2" ht="12.9" x14ac:dyDescent="0.35">
      <c r="A2957" s="401">
        <v>42776</v>
      </c>
      <c r="B2957" s="403">
        <v>3.0849732682949002E+18</v>
      </c>
    </row>
    <row r="2958" spans="1:2" ht="12.9" x14ac:dyDescent="0.35">
      <c r="A2958" s="401">
        <v>42777</v>
      </c>
      <c r="B2958" s="403">
        <v>2.9170835666189798E+18</v>
      </c>
    </row>
    <row r="2959" spans="1:2" ht="12.9" x14ac:dyDescent="0.35">
      <c r="A2959" s="401">
        <v>42778</v>
      </c>
      <c r="B2959" s="403">
        <v>2.93806977932847E+18</v>
      </c>
    </row>
    <row r="2960" spans="1:2" ht="12.9" x14ac:dyDescent="0.35">
      <c r="A2960" s="401">
        <v>42779</v>
      </c>
      <c r="B2960" s="403">
        <v>3.42075267164672E+18</v>
      </c>
    </row>
    <row r="2961" spans="1:2" ht="12.9" x14ac:dyDescent="0.35">
      <c r="A2961" s="401">
        <v>42780</v>
      </c>
      <c r="B2961" s="403">
        <v>3.54666994790366E+18</v>
      </c>
    </row>
    <row r="2962" spans="1:2" ht="12.9" x14ac:dyDescent="0.35">
      <c r="A2962" s="401">
        <v>42781</v>
      </c>
      <c r="B2962" s="403">
        <v>2.9170835666189798E+18</v>
      </c>
    </row>
    <row r="2963" spans="1:2" ht="12.9" x14ac:dyDescent="0.35">
      <c r="A2963" s="401">
        <v>42782</v>
      </c>
      <c r="B2963" s="403">
        <v>3.1689181191328502E+18</v>
      </c>
    </row>
    <row r="2964" spans="1:2" ht="12.9" x14ac:dyDescent="0.35">
      <c r="A2964" s="401">
        <v>42783</v>
      </c>
      <c r="B2964" s="403">
        <v>3.1689181191328502E+18</v>
      </c>
    </row>
    <row r="2965" spans="1:2" ht="12.9" x14ac:dyDescent="0.35">
      <c r="A2965" s="401">
        <v>42784</v>
      </c>
      <c r="B2965" s="403">
        <v>3.3086044562882002E+18</v>
      </c>
    </row>
    <row r="2966" spans="1:2" ht="12.9" x14ac:dyDescent="0.35">
      <c r="A2966" s="401">
        <v>42785</v>
      </c>
      <c r="B2966" s="403">
        <v>2.93611256385841E+18</v>
      </c>
    </row>
    <row r="2967" spans="1:2" ht="12.9" x14ac:dyDescent="0.35">
      <c r="A2967" s="401">
        <v>42786</v>
      </c>
      <c r="B2967" s="403">
        <v>3.2428705929182403E+18</v>
      </c>
    </row>
    <row r="2968" spans="1:2" ht="12.9" x14ac:dyDescent="0.35">
      <c r="A2968" s="401">
        <v>42787</v>
      </c>
      <c r="B2968" s="403">
        <v>3.0237577150183598E+18</v>
      </c>
    </row>
    <row r="2969" spans="1:2" ht="12.9" x14ac:dyDescent="0.35">
      <c r="A2969" s="401">
        <v>42788</v>
      </c>
      <c r="B2969" s="403">
        <v>3.0237577150183598E+18</v>
      </c>
    </row>
    <row r="2970" spans="1:2" ht="12.9" x14ac:dyDescent="0.35">
      <c r="A2970" s="401">
        <v>42789</v>
      </c>
      <c r="B2970" s="403">
        <v>3.28669316849822E+18</v>
      </c>
    </row>
    <row r="2971" spans="1:2" ht="12.9" x14ac:dyDescent="0.35">
      <c r="A2971" s="401">
        <v>42790</v>
      </c>
      <c r="B2971" s="403">
        <v>3.5715399097680599E+18</v>
      </c>
    </row>
    <row r="2972" spans="1:2" ht="12.9" x14ac:dyDescent="0.35">
      <c r="A2972" s="401">
        <v>42791</v>
      </c>
      <c r="B2972" s="403">
        <v>3.6591850609280102E+18</v>
      </c>
    </row>
    <row r="2973" spans="1:2" ht="12.9" x14ac:dyDescent="0.35">
      <c r="A2973" s="401">
        <v>42792</v>
      </c>
      <c r="B2973" s="403">
        <v>3.9002092266178801E+18</v>
      </c>
    </row>
    <row r="2974" spans="1:2" ht="12.9" x14ac:dyDescent="0.35">
      <c r="A2974" s="401">
        <v>42793</v>
      </c>
      <c r="B2974" s="403">
        <v>3.1552254417582899E+18</v>
      </c>
    </row>
    <row r="2975" spans="1:2" ht="12.9" x14ac:dyDescent="0.35">
      <c r="A2975" s="401">
        <v>42794</v>
      </c>
      <c r="B2975" s="403">
        <v>3.35242703186818E+18</v>
      </c>
    </row>
    <row r="2976" spans="1:2" ht="12.9" x14ac:dyDescent="0.35">
      <c r="A2976" s="401">
        <v>42795</v>
      </c>
      <c r="B2976" s="403">
        <v>3.1552254417582899E+18</v>
      </c>
    </row>
    <row r="2977" spans="1:2" ht="12.9" x14ac:dyDescent="0.35">
      <c r="A2977" s="401">
        <v>42796</v>
      </c>
      <c r="B2977" s="403">
        <v>3.4400721830281298E+18</v>
      </c>
    </row>
    <row r="2978" spans="1:2" ht="12.9" x14ac:dyDescent="0.35">
      <c r="A2978" s="401">
        <v>42797</v>
      </c>
      <c r="B2978" s="403">
        <v>3.3086044562882002E+18</v>
      </c>
    </row>
    <row r="2979" spans="1:2" ht="12.9" x14ac:dyDescent="0.35">
      <c r="A2979" s="401">
        <v>42798</v>
      </c>
      <c r="B2979" s="403">
        <v>3.0234559116644198E+18</v>
      </c>
    </row>
    <row r="2980" spans="1:2" ht="12.9" x14ac:dyDescent="0.35">
      <c r="A2980" s="401">
        <v>42799</v>
      </c>
      <c r="B2980" s="403">
        <v>3.36703044708083E+18</v>
      </c>
    </row>
    <row r="2981" spans="1:2" ht="12.9" x14ac:dyDescent="0.35">
      <c r="A2981" s="401">
        <v>42800</v>
      </c>
      <c r="B2981" s="403">
        <v>3.2525056019420201E+18</v>
      </c>
    </row>
    <row r="2982" spans="1:2" ht="12.9" x14ac:dyDescent="0.35">
      <c r="A2982" s="401">
        <v>42801</v>
      </c>
      <c r="B2982" s="403">
        <v>3.5044602612473902E+18</v>
      </c>
    </row>
    <row r="2983" spans="1:2" ht="12.9" x14ac:dyDescent="0.35">
      <c r="A2983" s="401">
        <v>42802</v>
      </c>
      <c r="B2983" s="403">
        <v>3.2525056019420201E+18</v>
      </c>
    </row>
    <row r="2984" spans="1:2" ht="12.9" x14ac:dyDescent="0.35">
      <c r="A2984" s="401">
        <v>42803</v>
      </c>
      <c r="B2984" s="403">
        <v>3.3899354161085901E+18</v>
      </c>
    </row>
    <row r="2985" spans="1:2" ht="12.9" x14ac:dyDescent="0.35">
      <c r="A2985" s="401">
        <v>42804</v>
      </c>
      <c r="B2985" s="403">
        <v>3.5731751683306701E+18</v>
      </c>
    </row>
    <row r="2986" spans="1:2" ht="12.9" x14ac:dyDescent="0.35">
      <c r="A2986" s="401">
        <v>42805</v>
      </c>
      <c r="B2986" s="403">
        <v>3.4128403851363502E+18</v>
      </c>
    </row>
    <row r="2987" spans="1:2" ht="12.9" x14ac:dyDescent="0.35">
      <c r="A2987" s="401">
        <v>42806</v>
      </c>
      <c r="B2987" s="403">
        <v>3.55027019930291E+18</v>
      </c>
    </row>
    <row r="2988" spans="1:2" ht="12.9" x14ac:dyDescent="0.35">
      <c r="A2988" s="401">
        <v>42807</v>
      </c>
      <c r="B2988" s="403">
        <v>3.3212205090253102E+18</v>
      </c>
    </row>
    <row r="2989" spans="1:2" ht="12.9" x14ac:dyDescent="0.35">
      <c r="A2989" s="401">
        <v>42808</v>
      </c>
      <c r="B2989" s="403">
        <v>3.5731751683306701E+18</v>
      </c>
    </row>
    <row r="2990" spans="1:2" ht="12.9" x14ac:dyDescent="0.35">
      <c r="A2990" s="401">
        <v>42809</v>
      </c>
      <c r="B2990" s="403">
        <v>3.2525056019420201E+18</v>
      </c>
    </row>
    <row r="2991" spans="1:2" ht="12.9" x14ac:dyDescent="0.35">
      <c r="A2991" s="401">
        <v>42810</v>
      </c>
      <c r="B2991" s="403">
        <v>3.5044602612473902E+18</v>
      </c>
    </row>
    <row r="2992" spans="1:2" ht="12.9" x14ac:dyDescent="0.35">
      <c r="A2992" s="401">
        <v>42811</v>
      </c>
      <c r="B2992" s="403">
        <v>3.6417048372061E+18</v>
      </c>
    </row>
    <row r="2993" spans="1:2" ht="12.9" x14ac:dyDescent="0.35">
      <c r="A2993" s="401">
        <v>42812</v>
      </c>
      <c r="B2993" s="403">
        <v>3.71264713922959E+18</v>
      </c>
    </row>
    <row r="2994" spans="1:2" ht="12.9" x14ac:dyDescent="0.35">
      <c r="A2994" s="401">
        <v>42813</v>
      </c>
      <c r="B2994" s="403">
        <v>3.9018266112922501E+18</v>
      </c>
    </row>
    <row r="2995" spans="1:2" ht="12.9" x14ac:dyDescent="0.35">
      <c r="A2995" s="401">
        <v>42814</v>
      </c>
      <c r="B2995" s="403">
        <v>3.2160510250651197E+18</v>
      </c>
    </row>
    <row r="2996" spans="1:2" ht="12.9" x14ac:dyDescent="0.35">
      <c r="A2996" s="401">
        <v>42815</v>
      </c>
      <c r="B2996" s="403">
        <v>3.3579356291121198E+18</v>
      </c>
    </row>
    <row r="2997" spans="1:2" ht="12.9" x14ac:dyDescent="0.35">
      <c r="A2997" s="401">
        <v>42816</v>
      </c>
      <c r="B2997" s="403">
        <v>3.7599420072452598E+18</v>
      </c>
    </row>
    <row r="2998" spans="1:2" ht="12.9" x14ac:dyDescent="0.35">
      <c r="A2998" s="401">
        <v>42817</v>
      </c>
      <c r="B2998" s="403">
        <v>3.4998202331591101E+18</v>
      </c>
    </row>
    <row r="2999" spans="1:2" ht="12.9" x14ac:dyDescent="0.35">
      <c r="A2999" s="401">
        <v>42818</v>
      </c>
      <c r="B2999" s="403">
        <v>4.1619483853784003E+18</v>
      </c>
    </row>
    <row r="3000" spans="1:2" ht="12.9" x14ac:dyDescent="0.35">
      <c r="A3000" s="401">
        <v>42819</v>
      </c>
      <c r="B3000" s="403">
        <v>3.1451087230416302E+18</v>
      </c>
    </row>
    <row r="3001" spans="1:2" ht="12.9" x14ac:dyDescent="0.35">
      <c r="A3001" s="401">
        <v>42820</v>
      </c>
      <c r="B3001" s="403">
        <v>3.9254740453000801E+18</v>
      </c>
    </row>
    <row r="3002" spans="1:2" ht="12.9" x14ac:dyDescent="0.35">
      <c r="A3002" s="401">
        <v>42821</v>
      </c>
      <c r="B3002" s="403">
        <v>3.1214612890338002E+18</v>
      </c>
    </row>
    <row r="3003" spans="1:2" ht="12.9" x14ac:dyDescent="0.35">
      <c r="A3003" s="401">
        <v>42822</v>
      </c>
      <c r="B3003" s="403">
        <v>3.66535227121393E+18</v>
      </c>
    </row>
    <row r="3004" spans="1:2" ht="12.9" x14ac:dyDescent="0.35">
      <c r="A3004" s="401">
        <v>42823</v>
      </c>
      <c r="B3004" s="403">
        <v>3.26334589308079E+18</v>
      </c>
    </row>
    <row r="3005" spans="1:2" ht="12.9" x14ac:dyDescent="0.35">
      <c r="A3005" s="401">
        <v>42824</v>
      </c>
      <c r="B3005" s="403">
        <v>3.8781791772844201E+18</v>
      </c>
    </row>
    <row r="3006" spans="1:2" ht="12.9" x14ac:dyDescent="0.35">
      <c r="A3006" s="401">
        <v>42825</v>
      </c>
      <c r="B3006" s="403">
        <v>3.3529999663580298E+18</v>
      </c>
    </row>
    <row r="3007" spans="1:2" ht="12.9" x14ac:dyDescent="0.35">
      <c r="A3007" s="401">
        <v>42826</v>
      </c>
      <c r="B3007" s="403">
        <v>3.2784888559945201E+18</v>
      </c>
    </row>
    <row r="3008" spans="1:2" ht="12.9" x14ac:dyDescent="0.35">
      <c r="A3008" s="401">
        <v>42827</v>
      </c>
      <c r="B3008" s="403">
        <v>3.9242518124782802E+18</v>
      </c>
    </row>
    <row r="3009" spans="1:2" ht="12.9" x14ac:dyDescent="0.35">
      <c r="A3009" s="401">
        <v>42828</v>
      </c>
      <c r="B3009" s="403">
        <v>4.3713184746593597E+18</v>
      </c>
    </row>
    <row r="3010" spans="1:2" ht="12.9" x14ac:dyDescent="0.35">
      <c r="A3010" s="401">
        <v>42829</v>
      </c>
      <c r="B3010" s="403">
        <v>3.1046295984796498E+18</v>
      </c>
    </row>
    <row r="3011" spans="1:2" ht="12.9" x14ac:dyDescent="0.35">
      <c r="A3011" s="401">
        <v>42830</v>
      </c>
      <c r="B3011" s="403">
        <v>4.02359995962963E+18</v>
      </c>
    </row>
    <row r="3012" spans="1:2" ht="12.9" x14ac:dyDescent="0.35">
      <c r="A3012" s="401">
        <v>42831</v>
      </c>
      <c r="B3012" s="403">
        <v>3.6510444078120699E+18</v>
      </c>
    </row>
    <row r="3013" spans="1:2" ht="12.9" x14ac:dyDescent="0.35">
      <c r="A3013" s="401">
        <v>42832</v>
      </c>
      <c r="B3013" s="403">
        <v>4.02359995962963E+18</v>
      </c>
    </row>
    <row r="3014" spans="1:2" ht="12.9" x14ac:dyDescent="0.35">
      <c r="A3014" s="401">
        <v>42833</v>
      </c>
      <c r="B3014" s="403">
        <v>3.4026740399337001E+18</v>
      </c>
    </row>
    <row r="3015" spans="1:2" ht="12.9" x14ac:dyDescent="0.35">
      <c r="A3015" s="401">
        <v>42834</v>
      </c>
      <c r="B3015" s="403">
        <v>3.9490888492661202E+18</v>
      </c>
    </row>
    <row r="3016" spans="1:2" ht="12.9" x14ac:dyDescent="0.35">
      <c r="A3016" s="401">
        <v>42835</v>
      </c>
      <c r="B3016" s="403">
        <v>3.6510444078120699E+18</v>
      </c>
    </row>
    <row r="3017" spans="1:2" ht="12.9" x14ac:dyDescent="0.35">
      <c r="A3017" s="401">
        <v>42836</v>
      </c>
      <c r="B3017" s="403">
        <v>4.1477851435688202E+18</v>
      </c>
    </row>
    <row r="3018" spans="1:2" ht="12.9" x14ac:dyDescent="0.35">
      <c r="A3018" s="401">
        <v>42837</v>
      </c>
      <c r="B3018" s="403">
        <v>3.5268592238728899E+18</v>
      </c>
    </row>
    <row r="3019" spans="1:2" ht="12.9" x14ac:dyDescent="0.35">
      <c r="A3019" s="401">
        <v>42838</v>
      </c>
      <c r="B3019" s="403">
        <v>3.2879720066240799E+18</v>
      </c>
    </row>
    <row r="3020" spans="1:2" ht="12.9" x14ac:dyDescent="0.35">
      <c r="A3020" s="401">
        <v>42839</v>
      </c>
      <c r="B3020" s="403">
        <v>3.59864652693502E+18</v>
      </c>
    </row>
    <row r="3021" spans="1:2" ht="12.9" x14ac:dyDescent="0.35">
      <c r="A3021" s="401">
        <v>42840</v>
      </c>
      <c r="B3021" s="403">
        <v>3.8834315038867098E+18</v>
      </c>
    </row>
    <row r="3022" spans="1:2" ht="12.9" x14ac:dyDescent="0.35">
      <c r="A3022" s="401">
        <v>42841</v>
      </c>
      <c r="B3022" s="403">
        <v>3.7798733304497398E+18</v>
      </c>
    </row>
    <row r="3023" spans="1:2" ht="12.9" x14ac:dyDescent="0.35">
      <c r="A3023" s="401">
        <v>42842</v>
      </c>
      <c r="B3023" s="403">
        <v>3.5727569835757798E+18</v>
      </c>
    </row>
    <row r="3024" spans="1:2" ht="12.9" x14ac:dyDescent="0.35">
      <c r="A3024" s="401">
        <v>42843</v>
      </c>
      <c r="B3024" s="403">
        <v>3.7798733304497398E+18</v>
      </c>
    </row>
    <row r="3025" spans="1:2" ht="12.9" x14ac:dyDescent="0.35">
      <c r="A3025" s="401">
        <v>42844</v>
      </c>
      <c r="B3025" s="403">
        <v>3.7022047003719997E+18</v>
      </c>
    </row>
    <row r="3026" spans="1:2" ht="12.9" x14ac:dyDescent="0.35">
      <c r="A3026" s="401">
        <v>42845</v>
      </c>
      <c r="B3026" s="403">
        <v>3.5727569835757798E+18</v>
      </c>
    </row>
    <row r="3027" spans="1:2" ht="12.9" x14ac:dyDescent="0.35">
      <c r="A3027" s="401">
        <v>42846</v>
      </c>
      <c r="B3027" s="403">
        <v>4.3235537409938801E+18</v>
      </c>
    </row>
    <row r="3028" spans="1:2" ht="12.9" x14ac:dyDescent="0.35">
      <c r="A3028" s="401">
        <v>42847</v>
      </c>
      <c r="B3028" s="403">
        <v>3.7539837870904899E+18</v>
      </c>
    </row>
    <row r="3029" spans="1:2" ht="12.9" x14ac:dyDescent="0.35">
      <c r="A3029" s="401">
        <v>42848</v>
      </c>
      <c r="B3029" s="403">
        <v>3.9611001339644498E+18</v>
      </c>
    </row>
    <row r="3030" spans="1:2" ht="12.9" x14ac:dyDescent="0.35">
      <c r="A3030" s="401">
        <v>42849</v>
      </c>
      <c r="B3030" s="403">
        <v>3.2103033765463501E+18</v>
      </c>
    </row>
    <row r="3031" spans="1:2" ht="12.9" x14ac:dyDescent="0.35">
      <c r="A3031" s="401">
        <v>42850</v>
      </c>
      <c r="B3031" s="403">
        <v>3.8316524171682299E+18</v>
      </c>
    </row>
    <row r="3032" spans="1:2" ht="12.9" x14ac:dyDescent="0.35">
      <c r="A3032" s="401">
        <v>42851</v>
      </c>
      <c r="B3032" s="403">
        <v>3.9611001339644498E+18</v>
      </c>
    </row>
    <row r="3033" spans="1:2" ht="12.9" x14ac:dyDescent="0.35">
      <c r="A3033" s="401">
        <v>42852</v>
      </c>
      <c r="B3033" s="403">
        <v>3.8142816337006602E+18</v>
      </c>
    </row>
    <row r="3034" spans="1:2" ht="12.9" x14ac:dyDescent="0.35">
      <c r="A3034" s="401">
        <v>42853</v>
      </c>
      <c r="B3034" s="403">
        <v>3.52885919852578E+18</v>
      </c>
    </row>
    <row r="3035" spans="1:2" ht="12.9" x14ac:dyDescent="0.35">
      <c r="A3035" s="401">
        <v>42854</v>
      </c>
      <c r="B3035" s="403">
        <v>4.4889164804776499E+18</v>
      </c>
    </row>
    <row r="3036" spans="1:2" ht="12.9" x14ac:dyDescent="0.35">
      <c r="A3036" s="401">
        <v>42855</v>
      </c>
      <c r="B3036" s="403">
        <v>3.9180716101278899E+18</v>
      </c>
    </row>
    <row r="3037" spans="1:2" ht="12.9" x14ac:dyDescent="0.35">
      <c r="A3037" s="401">
        <v>42856</v>
      </c>
      <c r="B3037" s="403">
        <v>3.8921241160210801E+18</v>
      </c>
    </row>
    <row r="3038" spans="1:2" ht="12.9" x14ac:dyDescent="0.35">
      <c r="A3038" s="401">
        <v>42857</v>
      </c>
      <c r="B3038" s="403">
        <v>4.09970406887554E+18</v>
      </c>
    </row>
    <row r="3039" spans="1:2" ht="12.9" x14ac:dyDescent="0.35">
      <c r="A3039" s="401">
        <v>42858</v>
      </c>
      <c r="B3039" s="403">
        <v>3.4250692220985498E+18</v>
      </c>
    </row>
    <row r="3040" spans="1:2" ht="12.9" x14ac:dyDescent="0.35">
      <c r="A3040" s="401">
        <v>42859</v>
      </c>
      <c r="B3040" s="403">
        <v>4.3591790099436099E+18</v>
      </c>
    </row>
    <row r="3041" spans="1:2" ht="12.9" x14ac:dyDescent="0.35">
      <c r="A3041" s="401">
        <v>42860</v>
      </c>
      <c r="B3041" s="403">
        <v>3.3472267397781299E+18</v>
      </c>
    </row>
    <row r="3042" spans="1:2" ht="12.9" x14ac:dyDescent="0.35">
      <c r="A3042" s="401">
        <v>42861</v>
      </c>
      <c r="B3042" s="403">
        <v>4.3591790099436099E+18</v>
      </c>
    </row>
    <row r="3043" spans="1:2" ht="12.9" x14ac:dyDescent="0.35">
      <c r="A3043" s="401">
        <v>42862</v>
      </c>
      <c r="B3043" s="403">
        <v>4.3332315158368E+18</v>
      </c>
    </row>
    <row r="3044" spans="1:2" ht="12.9" x14ac:dyDescent="0.35">
      <c r="A3044" s="401">
        <v>42863</v>
      </c>
      <c r="B3044" s="403">
        <v>4.6705489392253E+18</v>
      </c>
    </row>
    <row r="3045" spans="1:2" ht="12.9" x14ac:dyDescent="0.35">
      <c r="A3045" s="401">
        <v>42864</v>
      </c>
      <c r="B3045" s="403">
        <v>4.0218615865551201E+18</v>
      </c>
    </row>
    <row r="3046" spans="1:2" ht="12.9" x14ac:dyDescent="0.35">
      <c r="A3046" s="401">
        <v>42865</v>
      </c>
      <c r="B3046" s="403">
        <v>4.1197730024115E+18</v>
      </c>
    </row>
    <row r="3047" spans="1:2" ht="12.9" x14ac:dyDescent="0.35">
      <c r="A3047" s="401">
        <v>42866</v>
      </c>
      <c r="B3047" s="403">
        <v>3.75790104949698E+18</v>
      </c>
    </row>
    <row r="3048" spans="1:2" ht="12.9" x14ac:dyDescent="0.35">
      <c r="A3048" s="401">
        <v>42867</v>
      </c>
      <c r="B3048" s="403">
        <v>4.2867908268335898E+18</v>
      </c>
    </row>
    <row r="3049" spans="1:2" ht="12.9" x14ac:dyDescent="0.35">
      <c r="A3049" s="401">
        <v>42868</v>
      </c>
      <c r="B3049" s="403">
        <v>4.3981360431149798E+18</v>
      </c>
    </row>
    <row r="3050" spans="1:2" ht="12.9" x14ac:dyDescent="0.35">
      <c r="A3050" s="401">
        <v>42869</v>
      </c>
      <c r="B3050" s="403">
        <v>4.5651538675370701E+18</v>
      </c>
    </row>
    <row r="3051" spans="1:2" ht="12.9" x14ac:dyDescent="0.35">
      <c r="A3051" s="401">
        <v>42870</v>
      </c>
      <c r="B3051" s="403">
        <v>4.7321716919591598E+18</v>
      </c>
    </row>
    <row r="3052" spans="1:2" ht="12.9" x14ac:dyDescent="0.35">
      <c r="A3052" s="401">
        <v>42871</v>
      </c>
      <c r="B3052" s="403">
        <v>3.67439213728593E+18</v>
      </c>
    </row>
    <row r="3053" spans="1:2" ht="12.9" x14ac:dyDescent="0.35">
      <c r="A3053" s="401">
        <v>42872</v>
      </c>
      <c r="B3053" s="403">
        <v>4.3146271309039401E+18</v>
      </c>
    </row>
    <row r="3054" spans="1:2" ht="12.9" x14ac:dyDescent="0.35">
      <c r="A3054" s="401">
        <v>42873</v>
      </c>
      <c r="B3054" s="403">
        <v>3.9527551779894098E+18</v>
      </c>
    </row>
    <row r="3055" spans="1:2" ht="12.9" x14ac:dyDescent="0.35">
      <c r="A3055" s="401">
        <v>42874</v>
      </c>
      <c r="B3055" s="403">
        <v>4.5651538675370701E+18</v>
      </c>
    </row>
    <row r="3056" spans="1:2" ht="12.9" x14ac:dyDescent="0.35">
      <c r="A3056" s="401">
        <v>42875</v>
      </c>
      <c r="B3056" s="403">
        <v>4.5929901716074199E+18</v>
      </c>
    </row>
    <row r="3057" spans="1:2" ht="12.9" x14ac:dyDescent="0.35">
      <c r="A3057" s="401">
        <v>42876</v>
      </c>
      <c r="B3057" s="403">
        <v>4.0919366983411502E+18</v>
      </c>
    </row>
    <row r="3058" spans="1:2" ht="12.9" x14ac:dyDescent="0.35">
      <c r="A3058" s="401">
        <v>42877</v>
      </c>
      <c r="B3058" s="403">
        <v>4.0641003942707999E+18</v>
      </c>
    </row>
    <row r="3059" spans="1:2" ht="12.9" x14ac:dyDescent="0.35">
      <c r="A3059" s="401">
        <v>42878</v>
      </c>
      <c r="B3059" s="403">
        <v>4.9767377816556595E+18</v>
      </c>
    </row>
    <row r="3060" spans="1:2" ht="12.9" x14ac:dyDescent="0.35">
      <c r="A3060" s="401">
        <v>42879</v>
      </c>
      <c r="B3060" s="403">
        <v>4.5620096331843599E+18</v>
      </c>
    </row>
    <row r="3061" spans="1:2" ht="12.9" x14ac:dyDescent="0.35">
      <c r="A3061" s="401">
        <v>42880</v>
      </c>
      <c r="B3061" s="403">
        <v>4.8286205857730499E+18</v>
      </c>
    </row>
    <row r="3062" spans="1:2" ht="12.9" x14ac:dyDescent="0.35">
      <c r="A3062" s="401">
        <v>42881</v>
      </c>
      <c r="B3062" s="403">
        <v>4.53238619400783E+18</v>
      </c>
    </row>
    <row r="3063" spans="1:2" ht="12.9" x14ac:dyDescent="0.35">
      <c r="A3063" s="401">
        <v>42882</v>
      </c>
      <c r="B3063" s="403">
        <v>4.9767377816556595E+18</v>
      </c>
    </row>
    <row r="3064" spans="1:2" ht="12.9" x14ac:dyDescent="0.35">
      <c r="A3064" s="401">
        <v>42883</v>
      </c>
      <c r="B3064" s="403">
        <v>4.8878674641261005E+18</v>
      </c>
    </row>
    <row r="3065" spans="1:2" ht="12.9" x14ac:dyDescent="0.35">
      <c r="A3065" s="401">
        <v>42884</v>
      </c>
      <c r="B3065" s="403">
        <v>4.4731393156547901E+18</v>
      </c>
    </row>
    <row r="3066" spans="1:2" ht="12.9" x14ac:dyDescent="0.35">
      <c r="A3066" s="401">
        <v>42885</v>
      </c>
      <c r="B3066" s="403">
        <v>5.3025956125973996E+18</v>
      </c>
    </row>
    <row r="3067" spans="1:2" ht="12.9" x14ac:dyDescent="0.35">
      <c r="A3067" s="401">
        <v>42886</v>
      </c>
      <c r="B3067" s="403">
        <v>4.8582440249495695E+18</v>
      </c>
    </row>
    <row r="3068" spans="1:2" ht="12.9" x14ac:dyDescent="0.35">
      <c r="A3068" s="401">
        <v>42887</v>
      </c>
      <c r="B3068" s="403">
        <v>5.0359846600086999E+18</v>
      </c>
    </row>
    <row r="3069" spans="1:2" ht="12.9" x14ac:dyDescent="0.35">
      <c r="A3069" s="401">
        <v>42888</v>
      </c>
      <c r="B3069" s="403">
        <v>4.32502211977218E+18</v>
      </c>
    </row>
    <row r="3070" spans="1:2" ht="12.9" x14ac:dyDescent="0.35">
      <c r="A3070" s="401">
        <v>42889</v>
      </c>
      <c r="B3070" s="403">
        <v>5.6877003218921902E+18</v>
      </c>
    </row>
    <row r="3071" spans="1:2" ht="12.9" x14ac:dyDescent="0.35">
      <c r="A3071" s="401">
        <v>42890</v>
      </c>
      <c r="B3071" s="403">
        <v>4.7693737074200105E+18</v>
      </c>
    </row>
    <row r="3072" spans="1:2" ht="12.9" x14ac:dyDescent="0.35">
      <c r="A3072" s="401">
        <v>42891</v>
      </c>
      <c r="B3072" s="403">
        <v>5.5335810861142497E+18</v>
      </c>
    </row>
    <row r="3073" spans="1:2" ht="12.9" x14ac:dyDescent="0.35">
      <c r="A3073" s="401">
        <v>42892</v>
      </c>
      <c r="B3073" s="403">
        <v>5.0949435609954396E+18</v>
      </c>
    </row>
    <row r="3074" spans="1:2" ht="12.9" x14ac:dyDescent="0.35">
      <c r="A3074" s="401">
        <v>42893</v>
      </c>
      <c r="B3074" s="403">
        <v>5.5673224342003098E+18</v>
      </c>
    </row>
    <row r="3075" spans="1:2" ht="12.9" x14ac:dyDescent="0.35">
      <c r="A3075" s="401">
        <v>42894</v>
      </c>
      <c r="B3075" s="403">
        <v>5.5673224342003098E+18</v>
      </c>
    </row>
    <row r="3076" spans="1:2" ht="12.9" x14ac:dyDescent="0.35">
      <c r="A3076" s="401">
        <v>42895</v>
      </c>
      <c r="B3076" s="403">
        <v>5.0949435609954396E+18</v>
      </c>
    </row>
    <row r="3077" spans="1:2" ht="12.9" x14ac:dyDescent="0.35">
      <c r="A3077" s="401">
        <v>42896</v>
      </c>
      <c r="B3077" s="403">
        <v>4.7575300801348096E+18</v>
      </c>
    </row>
    <row r="3078" spans="1:2" ht="12.9" x14ac:dyDescent="0.35">
      <c r="A3078" s="401">
        <v>42897</v>
      </c>
      <c r="B3078" s="403">
        <v>4.92623682056512E+18</v>
      </c>
    </row>
    <row r="3079" spans="1:2" ht="12.9" x14ac:dyDescent="0.35">
      <c r="A3079" s="401">
        <v>42898</v>
      </c>
      <c r="B3079" s="403">
        <v>4.9599781686511903E+18</v>
      </c>
    </row>
    <row r="3080" spans="1:2" ht="12.9" x14ac:dyDescent="0.35">
      <c r="A3080" s="401">
        <v>42899</v>
      </c>
      <c r="B3080" s="403">
        <v>4.7575300801348096E+18</v>
      </c>
    </row>
    <row r="3081" spans="1:2" ht="12.9" x14ac:dyDescent="0.35">
      <c r="A3081" s="401">
        <v>42900</v>
      </c>
      <c r="B3081" s="403">
        <v>4.7237887320487496E+18</v>
      </c>
    </row>
    <row r="3082" spans="1:2" ht="12.9" x14ac:dyDescent="0.35">
      <c r="A3082" s="401">
        <v>42901</v>
      </c>
      <c r="B3082" s="403">
        <v>5.1624262571675597E+18</v>
      </c>
    </row>
    <row r="3083" spans="1:2" ht="12.9" x14ac:dyDescent="0.35">
      <c r="A3083" s="401">
        <v>42902</v>
      </c>
      <c r="B3083" s="403">
        <v>4.9937195167372503E+18</v>
      </c>
    </row>
    <row r="3084" spans="1:2" ht="12.9" x14ac:dyDescent="0.35">
      <c r="A3084" s="401">
        <v>42903</v>
      </c>
      <c r="B3084" s="403">
        <v>4.89249547247906E+18</v>
      </c>
    </row>
    <row r="3085" spans="1:2" ht="12.9" x14ac:dyDescent="0.35">
      <c r="A3085" s="401">
        <v>42904</v>
      </c>
      <c r="B3085" s="403">
        <v>5.1299056443010601E+18</v>
      </c>
    </row>
    <row r="3086" spans="1:2" ht="12.9" x14ac:dyDescent="0.35">
      <c r="A3086" s="401">
        <v>42905</v>
      </c>
      <c r="B3086" s="403">
        <v>5.3421776019962798E+18</v>
      </c>
    </row>
    <row r="3087" spans="1:2" ht="12.9" x14ac:dyDescent="0.35">
      <c r="A3087" s="401">
        <v>42906</v>
      </c>
      <c r="B3087" s="403">
        <v>4.8822550269899704E+18</v>
      </c>
    </row>
    <row r="3088" spans="1:2" ht="12.9" x14ac:dyDescent="0.35">
      <c r="A3088" s="401">
        <v>42907</v>
      </c>
      <c r="B3088" s="403">
        <v>4.9530123462217103E+18</v>
      </c>
    </row>
    <row r="3089" spans="1:2" ht="12.9" x14ac:dyDescent="0.35">
      <c r="A3089" s="401">
        <v>42908</v>
      </c>
      <c r="B3089" s="403">
        <v>4.9176336866058404E+18</v>
      </c>
    </row>
    <row r="3090" spans="1:2" ht="12.9" x14ac:dyDescent="0.35">
      <c r="A3090" s="401">
        <v>42909</v>
      </c>
      <c r="B3090" s="403">
        <v>5.6605855385391002E+18</v>
      </c>
    </row>
    <row r="3091" spans="1:2" ht="12.9" x14ac:dyDescent="0.35">
      <c r="A3091" s="401">
        <v>42910</v>
      </c>
      <c r="B3091" s="403">
        <v>5.16528430391693E+18</v>
      </c>
    </row>
    <row r="3092" spans="1:2" ht="12.9" x14ac:dyDescent="0.35">
      <c r="A3092" s="401">
        <v>42911</v>
      </c>
      <c r="B3092" s="403">
        <v>4.3161964731360599E+18</v>
      </c>
    </row>
    <row r="3093" spans="1:2" ht="12.9" x14ac:dyDescent="0.35">
      <c r="A3093" s="401">
        <v>42912</v>
      </c>
      <c r="B3093" s="403">
        <v>5.0237696654534502E+18</v>
      </c>
    </row>
    <row r="3094" spans="1:2" ht="12.9" x14ac:dyDescent="0.35">
      <c r="A3094" s="401">
        <v>42913</v>
      </c>
      <c r="B3094" s="403">
        <v>4.63460440967889E+18</v>
      </c>
    </row>
    <row r="3095" spans="1:2" ht="12.9" x14ac:dyDescent="0.35">
      <c r="A3095" s="401">
        <v>42914</v>
      </c>
      <c r="B3095" s="403">
        <v>5.5544495596914903E+18</v>
      </c>
    </row>
    <row r="3096" spans="1:2" ht="12.9" x14ac:dyDescent="0.35">
      <c r="A3096" s="401">
        <v>42915</v>
      </c>
      <c r="B3096" s="403">
        <v>4.24543915390432E+18</v>
      </c>
    </row>
    <row r="3097" spans="1:2" ht="12.9" x14ac:dyDescent="0.35">
      <c r="A3097" s="401">
        <v>42916</v>
      </c>
      <c r="B3097" s="403">
        <v>5.4483135808438897E+18</v>
      </c>
    </row>
    <row r="3098" spans="1:2" ht="12.9" x14ac:dyDescent="0.35">
      <c r="A3098" s="401">
        <v>42917</v>
      </c>
      <c r="B3098" s="403">
        <v>5.80210017700258E+18</v>
      </c>
    </row>
    <row r="3099" spans="1:2" ht="12.9" x14ac:dyDescent="0.35">
      <c r="A3099" s="401">
        <v>42918</v>
      </c>
      <c r="B3099" s="403">
        <v>6.6227987906770504E+18</v>
      </c>
    </row>
    <row r="3100" spans="1:2" ht="12.9" x14ac:dyDescent="0.35">
      <c r="A3100" s="401">
        <v>42919</v>
      </c>
      <c r="B3100" s="403">
        <v>5.9887010341228595E+18</v>
      </c>
    </row>
    <row r="3101" spans="1:2" ht="12.9" x14ac:dyDescent="0.35">
      <c r="A3101" s="401">
        <v>42920</v>
      </c>
      <c r="B3101" s="403">
        <v>5.3898309307105802E+18</v>
      </c>
    </row>
    <row r="3102" spans="1:2" ht="12.9" x14ac:dyDescent="0.35">
      <c r="A3102" s="401">
        <v>42921</v>
      </c>
      <c r="B3102" s="403">
        <v>5.2489203181429801E+18</v>
      </c>
    </row>
    <row r="3103" spans="1:2" ht="12.9" x14ac:dyDescent="0.35">
      <c r="A3103" s="401">
        <v>42922</v>
      </c>
      <c r="B3103" s="403">
        <v>5.0023267461496801E+18</v>
      </c>
    </row>
    <row r="3104" spans="1:2" ht="12.9" x14ac:dyDescent="0.35">
      <c r="A3104" s="401">
        <v>42923</v>
      </c>
      <c r="B3104" s="403">
        <v>5.2136926650010798E+18</v>
      </c>
    </row>
    <row r="3105" spans="1:2" ht="12.9" x14ac:dyDescent="0.35">
      <c r="A3105" s="401">
        <v>42924</v>
      </c>
      <c r="B3105" s="403">
        <v>5.8125627684133704E+18</v>
      </c>
    </row>
    <row r="3106" spans="1:2" ht="12.9" x14ac:dyDescent="0.35">
      <c r="A3106" s="401">
        <v>42925</v>
      </c>
      <c r="B3106" s="403">
        <v>4.8614161335820902E+18</v>
      </c>
    </row>
    <row r="3107" spans="1:2" ht="12.9" x14ac:dyDescent="0.35">
      <c r="A3107" s="401">
        <v>42926</v>
      </c>
      <c r="B3107" s="403">
        <v>6.9398476689541396E+18</v>
      </c>
    </row>
    <row r="3108" spans="1:2" ht="12.9" x14ac:dyDescent="0.35">
      <c r="A3108" s="401">
        <v>42927</v>
      </c>
      <c r="B3108" s="403">
        <v>6.0943839935485604E+18</v>
      </c>
    </row>
    <row r="3109" spans="1:2" ht="12.9" x14ac:dyDescent="0.35">
      <c r="A3109" s="401">
        <v>42928</v>
      </c>
      <c r="B3109" s="403">
        <v>6.2352946061161595E+18</v>
      </c>
    </row>
    <row r="3110" spans="1:2" ht="12.9" x14ac:dyDescent="0.35">
      <c r="A3110" s="401">
        <v>42929</v>
      </c>
      <c r="B3110" s="403">
        <v>5.5307415432781701E+18</v>
      </c>
    </row>
    <row r="3111" spans="1:2" ht="12.9" x14ac:dyDescent="0.35">
      <c r="A3111" s="401">
        <v>42930</v>
      </c>
      <c r="B3111" s="403">
        <v>5.5590498440678697E+18</v>
      </c>
    </row>
    <row r="3112" spans="1:2" ht="12.9" x14ac:dyDescent="0.35">
      <c r="A3112" s="401">
        <v>42931</v>
      </c>
      <c r="B3112" s="403">
        <v>5.0791318719181302E+18</v>
      </c>
    </row>
    <row r="3113" spans="1:2" ht="12.9" x14ac:dyDescent="0.35">
      <c r="A3113" s="401">
        <v>42932</v>
      </c>
      <c r="B3113" s="403">
        <v>6.51888578836736E+18</v>
      </c>
    </row>
    <row r="3114" spans="1:2" ht="12.9" x14ac:dyDescent="0.35">
      <c r="A3114" s="401">
        <v>42933</v>
      </c>
      <c r="B3114" s="403">
        <v>5.9189883231801805E+18</v>
      </c>
    </row>
    <row r="3115" spans="1:2" ht="12.9" x14ac:dyDescent="0.35">
      <c r="A3115" s="401">
        <v>42934</v>
      </c>
      <c r="B3115" s="403">
        <v>6.5988721170589901E+18</v>
      </c>
    </row>
    <row r="3116" spans="1:2" ht="12.9" x14ac:dyDescent="0.35">
      <c r="A3116" s="401">
        <v>42935</v>
      </c>
      <c r="B3116" s="403">
        <v>5.9589814875259996E+18</v>
      </c>
    </row>
    <row r="3117" spans="1:2" ht="12.9" x14ac:dyDescent="0.35">
      <c r="A3117" s="401">
        <v>42936</v>
      </c>
      <c r="B3117" s="403">
        <v>6.4788926240215501E+18</v>
      </c>
    </row>
    <row r="3118" spans="1:2" ht="12.9" x14ac:dyDescent="0.35">
      <c r="A3118" s="401">
        <v>42937</v>
      </c>
      <c r="B3118" s="403">
        <v>6.1589473092550605E+18</v>
      </c>
    </row>
    <row r="3119" spans="1:2" ht="12.9" x14ac:dyDescent="0.35">
      <c r="A3119" s="401">
        <v>42938</v>
      </c>
      <c r="B3119" s="403">
        <v>6.3989062953299302E+18</v>
      </c>
    </row>
    <row r="3120" spans="1:2" ht="12.9" x14ac:dyDescent="0.35">
      <c r="A3120" s="401">
        <v>42939</v>
      </c>
      <c r="B3120" s="403">
        <v>6.8788242674796698E+18</v>
      </c>
    </row>
    <row r="3121" spans="1:2" ht="12.9" x14ac:dyDescent="0.35">
      <c r="A3121" s="401">
        <v>42940</v>
      </c>
      <c r="B3121" s="403">
        <v>7.1187832535545498E+18</v>
      </c>
    </row>
    <row r="3122" spans="1:2" ht="12.9" x14ac:dyDescent="0.35">
      <c r="A3122" s="401">
        <v>42941</v>
      </c>
      <c r="B3122" s="403">
        <v>5.9189883231801805E+18</v>
      </c>
    </row>
    <row r="3123" spans="1:2" ht="12.9" x14ac:dyDescent="0.35">
      <c r="A3123" s="401">
        <v>42942</v>
      </c>
      <c r="B3123" s="403">
        <v>5.8789951588343695E+18</v>
      </c>
    </row>
    <row r="3124" spans="1:2" ht="12.9" x14ac:dyDescent="0.35">
      <c r="A3124" s="401">
        <v>42943</v>
      </c>
      <c r="B3124" s="403">
        <v>6.5853274852995799E+18</v>
      </c>
    </row>
    <row r="3125" spans="1:2" ht="12.9" x14ac:dyDescent="0.35">
      <c r="A3125" s="401">
        <v>42944</v>
      </c>
      <c r="B3125" s="403">
        <v>6.4142800181489398E+18</v>
      </c>
    </row>
    <row r="3126" spans="1:2" ht="12.9" x14ac:dyDescent="0.35">
      <c r="A3126" s="401">
        <v>42945</v>
      </c>
      <c r="B3126" s="403">
        <v>6.7136130856625603E+18</v>
      </c>
    </row>
    <row r="3127" spans="1:2" ht="12.9" x14ac:dyDescent="0.35">
      <c r="A3127" s="401">
        <v>42946</v>
      </c>
      <c r="B3127" s="403">
        <v>6.2859944177859697E+18</v>
      </c>
    </row>
    <row r="3128" spans="1:2" ht="12.9" x14ac:dyDescent="0.35">
      <c r="A3128" s="401">
        <v>42947</v>
      </c>
      <c r="B3128" s="403">
        <v>6.2004706842106501E+18</v>
      </c>
    </row>
    <row r="3129" spans="1:2" ht="12.9" x14ac:dyDescent="0.35">
      <c r="A3129" s="401">
        <v>42948</v>
      </c>
      <c r="B3129" s="403">
        <v>6.37151815136128E+18</v>
      </c>
    </row>
    <row r="3130" spans="1:2" ht="12.9" x14ac:dyDescent="0.35">
      <c r="A3130" s="401">
        <v>42949</v>
      </c>
      <c r="B3130" s="403">
        <v>6.4998037517242604E+18</v>
      </c>
    </row>
    <row r="3131" spans="1:2" ht="12.9" x14ac:dyDescent="0.35">
      <c r="A3131" s="401">
        <v>42950</v>
      </c>
      <c r="B3131" s="403">
        <v>5.9011376166970296E+18</v>
      </c>
    </row>
    <row r="3132" spans="1:2" ht="12.9" x14ac:dyDescent="0.35">
      <c r="A3132" s="401">
        <v>42951</v>
      </c>
      <c r="B3132" s="403">
        <v>7.6543741549910702E+18</v>
      </c>
    </row>
    <row r="3133" spans="1:2" ht="12.9" x14ac:dyDescent="0.35">
      <c r="A3133" s="401">
        <v>42952</v>
      </c>
      <c r="B3133" s="403">
        <v>7.5688504214157599E+18</v>
      </c>
    </row>
    <row r="3134" spans="1:2" ht="12.9" x14ac:dyDescent="0.35">
      <c r="A3134" s="401">
        <v>42953</v>
      </c>
      <c r="B3134" s="403">
        <v>5.9866613502723502E+18</v>
      </c>
    </row>
    <row r="3135" spans="1:2" ht="12.9" x14ac:dyDescent="0.35">
      <c r="A3135" s="401">
        <v>42954</v>
      </c>
      <c r="B3135" s="403">
        <v>6.5425656185119201E+18</v>
      </c>
    </row>
    <row r="3136" spans="1:2" ht="12.9" x14ac:dyDescent="0.35">
      <c r="A3136" s="401">
        <v>42955</v>
      </c>
      <c r="B3136" s="403">
        <v>7.0129461531761797E+18</v>
      </c>
    </row>
    <row r="3137" spans="1:2" ht="12.9" x14ac:dyDescent="0.35">
      <c r="A3137" s="401">
        <v>42956</v>
      </c>
      <c r="B3137" s="403">
        <v>5.9011376166970296E+18</v>
      </c>
    </row>
    <row r="3138" spans="1:2" ht="12.9" x14ac:dyDescent="0.35">
      <c r="A3138" s="401">
        <v>42957</v>
      </c>
      <c r="B3138" s="403">
        <v>6.1498180783204403E+18</v>
      </c>
    </row>
    <row r="3139" spans="1:2" ht="12.9" x14ac:dyDescent="0.35">
      <c r="A3139" s="401">
        <v>42958</v>
      </c>
      <c r="B3139" s="403">
        <v>6.6087597259562895E+18</v>
      </c>
    </row>
    <row r="3140" spans="1:2" ht="12.9" x14ac:dyDescent="0.35">
      <c r="A3140" s="401">
        <v>42959</v>
      </c>
      <c r="B3140" s="403">
        <v>6.1957122430840197E+18</v>
      </c>
    </row>
    <row r="3141" spans="1:2" ht="12.9" x14ac:dyDescent="0.35">
      <c r="A3141" s="401">
        <v>42960</v>
      </c>
      <c r="B3141" s="403">
        <v>6.7923363850106296E+18</v>
      </c>
    </row>
    <row r="3142" spans="1:2" ht="12.9" x14ac:dyDescent="0.35">
      <c r="A3142" s="401">
        <v>42961</v>
      </c>
      <c r="B3142" s="403">
        <v>5.96624141926609E+18</v>
      </c>
    </row>
    <row r="3143" spans="1:2" ht="12.9" x14ac:dyDescent="0.35">
      <c r="A3143" s="401">
        <v>42962</v>
      </c>
      <c r="B3143" s="403">
        <v>6.9759130440649697E+18</v>
      </c>
    </row>
    <row r="3144" spans="1:2" ht="12.9" x14ac:dyDescent="0.35">
      <c r="A3144" s="401">
        <v>42963</v>
      </c>
      <c r="B3144" s="403">
        <v>5.96624141926609E+18</v>
      </c>
    </row>
    <row r="3145" spans="1:2" ht="12.9" x14ac:dyDescent="0.35">
      <c r="A3145" s="401">
        <v>42964</v>
      </c>
      <c r="B3145" s="403">
        <v>8.2150554926817802E+18</v>
      </c>
    </row>
    <row r="3146" spans="1:2" ht="12.9" x14ac:dyDescent="0.35">
      <c r="A3146" s="401">
        <v>42965</v>
      </c>
      <c r="B3146" s="403">
        <v>6.8382305497742203E+18</v>
      </c>
    </row>
    <row r="3147" spans="1:2" ht="12.9" x14ac:dyDescent="0.35">
      <c r="A3147" s="401">
        <v>42966</v>
      </c>
      <c r="B3147" s="403">
        <v>6.9300188793013903E+18</v>
      </c>
    </row>
    <row r="3148" spans="1:2" ht="12.9" x14ac:dyDescent="0.35">
      <c r="A3148" s="401">
        <v>42967</v>
      </c>
      <c r="B3148" s="403">
        <v>5.96624141926609E+18</v>
      </c>
    </row>
    <row r="3149" spans="1:2" ht="12.9" x14ac:dyDescent="0.35">
      <c r="A3149" s="401">
        <v>42968</v>
      </c>
      <c r="B3149" s="403">
        <v>5.27782894781231E+18</v>
      </c>
    </row>
    <row r="3150" spans="1:2" ht="12.9" x14ac:dyDescent="0.35">
      <c r="A3150" s="401">
        <v>42969</v>
      </c>
      <c r="B3150" s="403">
        <v>4.0845806639590902E+18</v>
      </c>
    </row>
    <row r="3151" spans="1:2" ht="12.9" x14ac:dyDescent="0.35">
      <c r="A3151" s="401">
        <v>42970</v>
      </c>
      <c r="B3151" s="403">
        <v>7.2971721974100695E+18</v>
      </c>
    </row>
    <row r="3152" spans="1:2" ht="12.9" x14ac:dyDescent="0.35">
      <c r="A3152" s="401">
        <v>42971</v>
      </c>
      <c r="B3152" s="403">
        <v>4.4592775076519997E+18</v>
      </c>
    </row>
    <row r="3153" spans="1:2" ht="12.9" x14ac:dyDescent="0.35">
      <c r="A3153" s="401">
        <v>42972</v>
      </c>
      <c r="B3153" s="403">
        <v>4.4592775076519997E+18</v>
      </c>
    </row>
    <row r="3154" spans="1:2" ht="12.9" x14ac:dyDescent="0.35">
      <c r="A3154" s="401">
        <v>42973</v>
      </c>
      <c r="B3154" s="403">
        <v>4.6358825574599997E+18</v>
      </c>
    </row>
    <row r="3155" spans="1:2" ht="12.9" x14ac:dyDescent="0.35">
      <c r="A3155" s="401">
        <v>42974</v>
      </c>
      <c r="B3155" s="403">
        <v>6.8434456800600105E+18</v>
      </c>
    </row>
    <row r="3156" spans="1:2" ht="12.9" x14ac:dyDescent="0.35">
      <c r="A3156" s="401">
        <v>42975</v>
      </c>
      <c r="B3156" s="403">
        <v>5.69551285630801E+18</v>
      </c>
    </row>
    <row r="3157" spans="1:2" ht="12.9" x14ac:dyDescent="0.35">
      <c r="A3157" s="401">
        <v>42976</v>
      </c>
      <c r="B3157" s="403">
        <v>6.57853810534801E+18</v>
      </c>
    </row>
    <row r="3158" spans="1:2" ht="12.9" x14ac:dyDescent="0.35">
      <c r="A3158" s="401">
        <v>42977</v>
      </c>
      <c r="B3158" s="403">
        <v>7.4174120919360102E+18</v>
      </c>
    </row>
    <row r="3159" spans="1:2" ht="12.9" x14ac:dyDescent="0.35">
      <c r="A3159" s="401">
        <v>42978</v>
      </c>
      <c r="B3159" s="403">
        <v>7.1966557796760105E+18</v>
      </c>
    </row>
    <row r="3160" spans="1:2" ht="12.9" x14ac:dyDescent="0.35">
      <c r="A3160" s="401">
        <v>42979</v>
      </c>
      <c r="B3160" s="403">
        <v>7.6823196666480097E+18</v>
      </c>
    </row>
    <row r="3161" spans="1:2" ht="12.9" x14ac:dyDescent="0.35">
      <c r="A3161" s="401">
        <v>42980</v>
      </c>
      <c r="B3161" s="403">
        <v>7.2408070421280102E+18</v>
      </c>
    </row>
    <row r="3162" spans="1:2" ht="12.9" x14ac:dyDescent="0.35">
      <c r="A3162" s="401">
        <v>42981</v>
      </c>
      <c r="B3162" s="403">
        <v>6.7992944176080097E+18</v>
      </c>
    </row>
    <row r="3163" spans="1:2" ht="12.9" x14ac:dyDescent="0.35">
      <c r="A3163" s="401">
        <v>42982</v>
      </c>
      <c r="B3163" s="403">
        <v>7.7264709291000105E+18</v>
      </c>
    </row>
    <row r="3164" spans="1:2" ht="12.9" x14ac:dyDescent="0.35">
      <c r="A3164" s="401">
        <v>42983</v>
      </c>
      <c r="B3164" s="403">
        <v>8.69779870304401E+18</v>
      </c>
    </row>
    <row r="3165" spans="1:2" ht="12.9" x14ac:dyDescent="0.35">
      <c r="A3165" s="401">
        <v>42984</v>
      </c>
      <c r="B3165" s="403">
        <v>7.1525045172240097E+18</v>
      </c>
    </row>
    <row r="3166" spans="1:2" ht="12.9" x14ac:dyDescent="0.35">
      <c r="A3166" s="401">
        <v>42985</v>
      </c>
      <c r="B3166" s="403">
        <v>8.0729252766442097E+18</v>
      </c>
    </row>
    <row r="3167" spans="1:2" ht="12.9" x14ac:dyDescent="0.35">
      <c r="A3167" s="401">
        <v>42986</v>
      </c>
      <c r="B3167" s="403">
        <v>8.0270563830269102E+18</v>
      </c>
    </row>
    <row r="3168" spans="1:2" ht="12.9" x14ac:dyDescent="0.35">
      <c r="A3168" s="401">
        <v>42987</v>
      </c>
      <c r="B3168" s="403">
        <v>7.7518430213231299E+18</v>
      </c>
    </row>
    <row r="3169" spans="1:2" ht="12.9" x14ac:dyDescent="0.35">
      <c r="A3169" s="401">
        <v>42988</v>
      </c>
      <c r="B3169" s="403">
        <v>6.3299073191869297E+18</v>
      </c>
    </row>
    <row r="3170" spans="1:2" ht="12.9" x14ac:dyDescent="0.35">
      <c r="A3170" s="401">
        <v>42989</v>
      </c>
      <c r="B3170" s="403">
        <v>7.9811874894096097E+18</v>
      </c>
    </row>
    <row r="3171" spans="1:2" ht="12.9" x14ac:dyDescent="0.35">
      <c r="A3171" s="401">
        <v>42990</v>
      </c>
      <c r="B3171" s="403">
        <v>8.6233520000517704E+18</v>
      </c>
    </row>
    <row r="3172" spans="1:2" ht="12.9" x14ac:dyDescent="0.35">
      <c r="A3172" s="401">
        <v>42991</v>
      </c>
      <c r="B3172" s="403">
        <v>8.7150897872863601E+18</v>
      </c>
    </row>
    <row r="3173" spans="1:2" ht="12.9" x14ac:dyDescent="0.35">
      <c r="A3173" s="401">
        <v>42992</v>
      </c>
      <c r="B3173" s="403">
        <v>7.9811874894096097E+18</v>
      </c>
    </row>
    <row r="3174" spans="1:2" ht="12.9" x14ac:dyDescent="0.35">
      <c r="A3174" s="401">
        <v>42993</v>
      </c>
      <c r="B3174" s="403">
        <v>8.2564008511133901E+18</v>
      </c>
    </row>
    <row r="3175" spans="1:2" ht="12.9" x14ac:dyDescent="0.35">
      <c r="A3175" s="401">
        <v>42994</v>
      </c>
      <c r="B3175" s="403">
        <v>7.7518430213231299E+18</v>
      </c>
    </row>
    <row r="3176" spans="1:2" ht="12.9" x14ac:dyDescent="0.35">
      <c r="A3176" s="401">
        <v>42995</v>
      </c>
      <c r="B3176" s="403">
        <v>8.0729252766442097E+18</v>
      </c>
    </row>
    <row r="3177" spans="1:2" ht="12.9" x14ac:dyDescent="0.35">
      <c r="A3177" s="401">
        <v>42996</v>
      </c>
      <c r="B3177" s="403">
        <v>6.9659954516794501E+18</v>
      </c>
    </row>
    <row r="3178" spans="1:2" ht="12.9" x14ac:dyDescent="0.35">
      <c r="A3178" s="401">
        <v>42997</v>
      </c>
      <c r="B3178" s="403">
        <v>8.5566558304094095E+18</v>
      </c>
    </row>
    <row r="3179" spans="1:2" ht="12.9" x14ac:dyDescent="0.35">
      <c r="A3179" s="401">
        <v>42998</v>
      </c>
      <c r="B3179" s="403">
        <v>6.4174918728070605E+18</v>
      </c>
    </row>
    <row r="3180" spans="1:2" ht="12.9" x14ac:dyDescent="0.35">
      <c r="A3180" s="401">
        <v>42999</v>
      </c>
      <c r="B3180" s="403">
        <v>9.6536629881542103E+18</v>
      </c>
    </row>
    <row r="3181" spans="1:2" ht="12.9" x14ac:dyDescent="0.35">
      <c r="A3181" s="401">
        <v>43000</v>
      </c>
      <c r="B3181" s="403">
        <v>7.6241997463263304E+18</v>
      </c>
    </row>
    <row r="3182" spans="1:2" ht="12.9" x14ac:dyDescent="0.35">
      <c r="A3182" s="401">
        <v>43001</v>
      </c>
      <c r="B3182" s="403">
        <v>9.1051594092818104E+18</v>
      </c>
    </row>
    <row r="3183" spans="1:2" ht="12.9" x14ac:dyDescent="0.35">
      <c r="A3183" s="401">
        <v>43002</v>
      </c>
      <c r="B3183" s="403">
        <v>7.9533018936497705E+18</v>
      </c>
    </row>
    <row r="3184" spans="1:2" ht="12.9" x14ac:dyDescent="0.35">
      <c r="A3184" s="401">
        <v>43003</v>
      </c>
      <c r="B3184" s="403">
        <v>6.85629473590498E+18</v>
      </c>
    </row>
    <row r="3185" spans="1:2" ht="12.9" x14ac:dyDescent="0.35">
      <c r="A3185" s="401">
        <v>43004</v>
      </c>
      <c r="B3185" s="403">
        <v>7.5693493884390902E+18</v>
      </c>
    </row>
    <row r="3186" spans="1:2" ht="12.9" x14ac:dyDescent="0.35">
      <c r="A3186" s="401">
        <v>43005</v>
      </c>
      <c r="B3186" s="403">
        <v>8.0630026094242499E+18</v>
      </c>
    </row>
    <row r="3187" spans="1:2" ht="12.9" x14ac:dyDescent="0.35">
      <c r="A3187" s="401">
        <v>43006</v>
      </c>
      <c r="B3187" s="403">
        <v>9.7085133460414505E+18</v>
      </c>
    </row>
    <row r="3188" spans="1:2" ht="12.9" x14ac:dyDescent="0.35">
      <c r="A3188" s="401">
        <v>43007</v>
      </c>
      <c r="B3188" s="403">
        <v>9.269710482943531E+18</v>
      </c>
    </row>
    <row r="3189" spans="1:2" ht="12.9" x14ac:dyDescent="0.35">
      <c r="A3189" s="401">
        <v>43008</v>
      </c>
      <c r="B3189" s="403">
        <v>7.5693493884390902E+18</v>
      </c>
    </row>
    <row r="3190" spans="1:2" ht="12.9" x14ac:dyDescent="0.35">
      <c r="A3190" s="401">
        <v>43009</v>
      </c>
      <c r="B3190" s="403">
        <v>7.1305465253411697E+18</v>
      </c>
    </row>
    <row r="3191" spans="1:2" ht="12.9" x14ac:dyDescent="0.35">
      <c r="A3191" s="401">
        <v>43010</v>
      </c>
      <c r="B3191" s="403">
        <v>8.3801320396201595E+18</v>
      </c>
    </row>
    <row r="3192" spans="1:2" ht="12.9" x14ac:dyDescent="0.35">
      <c r="A3192" s="401">
        <v>43011</v>
      </c>
      <c r="B3192" s="403">
        <v>1.0223761088336599E+19</v>
      </c>
    </row>
    <row r="3193" spans="1:2" ht="12.9" x14ac:dyDescent="0.35">
      <c r="A3193" s="401">
        <v>43012</v>
      </c>
      <c r="B3193" s="403">
        <v>7.4862512887273503E+18</v>
      </c>
    </row>
    <row r="3194" spans="1:2" ht="12.9" x14ac:dyDescent="0.35">
      <c r="A3194" s="401">
        <v>43013</v>
      </c>
      <c r="B3194" s="403">
        <v>6.9834433663501302E+18</v>
      </c>
    </row>
    <row r="3195" spans="1:2" ht="12.9" x14ac:dyDescent="0.35">
      <c r="A3195" s="401">
        <v>43014</v>
      </c>
      <c r="B3195" s="403">
        <v>8.8829399619973704E+18</v>
      </c>
    </row>
    <row r="3196" spans="1:2" ht="12.9" x14ac:dyDescent="0.35">
      <c r="A3196" s="401">
        <v>43015</v>
      </c>
      <c r="B3196" s="403">
        <v>8.8270724150665697E+18</v>
      </c>
    </row>
    <row r="3197" spans="1:2" ht="12.9" x14ac:dyDescent="0.35">
      <c r="A3197" s="401">
        <v>43016</v>
      </c>
      <c r="B3197" s="403">
        <v>1.01678935414058E+19</v>
      </c>
    </row>
    <row r="3198" spans="1:2" ht="12.9" x14ac:dyDescent="0.35">
      <c r="A3198" s="401">
        <v>43017</v>
      </c>
      <c r="B3198" s="403">
        <v>8.9946750558589798E+18</v>
      </c>
    </row>
    <row r="3199" spans="1:2" ht="12.9" x14ac:dyDescent="0.35">
      <c r="A3199" s="401">
        <v>43018</v>
      </c>
      <c r="B3199" s="403">
        <v>8.93880750892817E+18</v>
      </c>
    </row>
    <row r="3200" spans="1:2" ht="12.9" x14ac:dyDescent="0.35">
      <c r="A3200" s="401">
        <v>43019</v>
      </c>
      <c r="B3200" s="403">
        <v>7.7655890233813504E+18</v>
      </c>
    </row>
    <row r="3201" spans="1:2" ht="12.9" x14ac:dyDescent="0.35">
      <c r="A3201" s="401">
        <v>43020</v>
      </c>
      <c r="B3201" s="403">
        <v>8.5477346804125696E+18</v>
      </c>
    </row>
    <row r="3202" spans="1:2" ht="12.9" x14ac:dyDescent="0.35">
      <c r="A3202" s="401">
        <v>43021</v>
      </c>
      <c r="B3202" s="403">
        <v>7.5979863825889495E+18</v>
      </c>
    </row>
    <row r="3203" spans="1:2" ht="12.9" x14ac:dyDescent="0.35">
      <c r="A3203" s="401">
        <v>43022</v>
      </c>
      <c r="B3203" s="403">
        <v>7.8773241172429496E+18</v>
      </c>
    </row>
    <row r="3204" spans="1:2" ht="12.9" x14ac:dyDescent="0.35">
      <c r="A3204" s="401">
        <v>43023</v>
      </c>
      <c r="B3204" s="403">
        <v>1.1601113065312201E+19</v>
      </c>
    </row>
    <row r="3205" spans="1:2" ht="12.9" x14ac:dyDescent="0.35">
      <c r="A3205" s="401">
        <v>43024</v>
      </c>
      <c r="B3205" s="403">
        <v>1.03517624275094E+19</v>
      </c>
    </row>
    <row r="3206" spans="1:2" ht="12.9" x14ac:dyDescent="0.35">
      <c r="A3206" s="401">
        <v>43025</v>
      </c>
      <c r="B3206" s="403">
        <v>9.7568335523651809E+18</v>
      </c>
    </row>
    <row r="3207" spans="1:2" ht="12.9" x14ac:dyDescent="0.35">
      <c r="A3207" s="401">
        <v>43026</v>
      </c>
      <c r="B3207" s="403">
        <v>8.9834260146776996E+18</v>
      </c>
    </row>
    <row r="3208" spans="1:2" ht="12.9" x14ac:dyDescent="0.35">
      <c r="A3208" s="401">
        <v>43027</v>
      </c>
      <c r="B3208" s="403">
        <v>1.0589733977567001E+19</v>
      </c>
    </row>
    <row r="3209" spans="1:2" ht="12.9" x14ac:dyDescent="0.35">
      <c r="A3209" s="401">
        <v>43028</v>
      </c>
      <c r="B3209" s="403">
        <v>1.06492268650815E+19</v>
      </c>
    </row>
    <row r="3210" spans="1:2" ht="12.9" x14ac:dyDescent="0.35">
      <c r="A3210" s="401">
        <v>43029</v>
      </c>
      <c r="B3210" s="403">
        <v>9.10241178970654E+18</v>
      </c>
    </row>
    <row r="3211" spans="1:2" ht="12.9" x14ac:dyDescent="0.35">
      <c r="A3211" s="401">
        <v>43030</v>
      </c>
      <c r="B3211" s="403">
        <v>1.08277055276247E+19</v>
      </c>
    </row>
    <row r="3212" spans="1:2" ht="12.9" x14ac:dyDescent="0.35">
      <c r="A3212" s="401">
        <v>43031</v>
      </c>
      <c r="B3212" s="403">
        <v>1.0173283764966101E+19</v>
      </c>
    </row>
    <row r="3213" spans="1:2" ht="12.9" x14ac:dyDescent="0.35">
      <c r="A3213" s="401">
        <v>43032</v>
      </c>
      <c r="B3213" s="403">
        <v>9.9353122149084406E+18</v>
      </c>
    </row>
    <row r="3214" spans="1:2" ht="12.9" x14ac:dyDescent="0.35">
      <c r="A3214" s="401">
        <v>43033</v>
      </c>
      <c r="B3214" s="403">
        <v>1.1006184190168001E+19</v>
      </c>
    </row>
    <row r="3215" spans="1:2" ht="12.9" x14ac:dyDescent="0.35">
      <c r="A3215" s="401">
        <v>43034</v>
      </c>
      <c r="B3215" s="403">
        <v>1.07087197525959E+19</v>
      </c>
    </row>
    <row r="3216" spans="1:2" ht="12.9" x14ac:dyDescent="0.35">
      <c r="A3216" s="401">
        <v>43035</v>
      </c>
      <c r="B3216" s="403">
        <v>7.5109899435995003E+18</v>
      </c>
    </row>
    <row r="3217" spans="1:2" ht="12.9" x14ac:dyDescent="0.35">
      <c r="A3217" s="401">
        <v>43036</v>
      </c>
      <c r="B3217" s="403">
        <v>6.13878985774959E+18</v>
      </c>
    </row>
    <row r="3218" spans="1:2" ht="12.9" x14ac:dyDescent="0.35">
      <c r="A3218" s="401">
        <v>43037</v>
      </c>
      <c r="B3218" s="403">
        <v>1.1122042801099201E+19</v>
      </c>
    </row>
    <row r="3219" spans="1:2" ht="12.9" x14ac:dyDescent="0.35">
      <c r="A3219" s="401">
        <v>43038</v>
      </c>
      <c r="B3219" s="403">
        <v>1.0616495401049201E+19</v>
      </c>
    </row>
    <row r="3220" spans="1:2" ht="12.9" x14ac:dyDescent="0.35">
      <c r="A3220" s="401">
        <v>43039</v>
      </c>
      <c r="B3220" s="403">
        <v>9.9665058866993295E+18</v>
      </c>
    </row>
    <row r="3221" spans="1:2" ht="12.9" x14ac:dyDescent="0.35">
      <c r="A3221" s="401">
        <v>43040</v>
      </c>
      <c r="B3221" s="403">
        <v>1.1266484915399201E+19</v>
      </c>
    </row>
    <row r="3222" spans="1:2" ht="12.9" x14ac:dyDescent="0.35">
      <c r="A3222" s="401">
        <v>43041</v>
      </c>
      <c r="B3222" s="403">
        <v>1.08331585724992E+19</v>
      </c>
    </row>
    <row r="3223" spans="1:2" ht="12.9" x14ac:dyDescent="0.35">
      <c r="A3223" s="401">
        <v>43042</v>
      </c>
      <c r="B3223" s="403">
        <v>8.5943058008494203E+18</v>
      </c>
    </row>
    <row r="3224" spans="1:2" ht="12.9" x14ac:dyDescent="0.35">
      <c r="A3224" s="401">
        <v>43043</v>
      </c>
      <c r="B3224" s="403">
        <v>9.3887374294993695E+18</v>
      </c>
    </row>
    <row r="3225" spans="1:2" ht="12.9" x14ac:dyDescent="0.35">
      <c r="A3225" s="401">
        <v>43044</v>
      </c>
      <c r="B3225" s="403">
        <v>1.01831690581493E+19</v>
      </c>
    </row>
    <row r="3226" spans="1:2" ht="12.9" x14ac:dyDescent="0.35">
      <c r="A3226" s="401">
        <v>43045</v>
      </c>
      <c r="B3226" s="403">
        <v>9.6054006009493606E+18</v>
      </c>
    </row>
    <row r="3227" spans="1:2" ht="12.9" x14ac:dyDescent="0.35">
      <c r="A3227" s="401">
        <v>43046</v>
      </c>
      <c r="B3227" s="403">
        <v>1.1266484915399201E+19</v>
      </c>
    </row>
    <row r="3228" spans="1:2" ht="12.9" x14ac:dyDescent="0.35">
      <c r="A3228" s="401">
        <v>43047</v>
      </c>
      <c r="B3228" s="403">
        <v>1.03998322295993E+19</v>
      </c>
    </row>
    <row r="3229" spans="1:2" ht="12.9" x14ac:dyDescent="0.35">
      <c r="A3229" s="401">
        <v>43048</v>
      </c>
      <c r="B3229" s="403">
        <v>1.1049821743949199E+19</v>
      </c>
    </row>
    <row r="3230" spans="1:2" ht="12.9" x14ac:dyDescent="0.35">
      <c r="A3230" s="401">
        <v>43049</v>
      </c>
      <c r="B3230" s="403">
        <v>8.6665268579994204E+18</v>
      </c>
    </row>
    <row r="3231" spans="1:2" ht="12.9" x14ac:dyDescent="0.35">
      <c r="A3231" s="401">
        <v>43050</v>
      </c>
      <c r="B3231" s="403">
        <v>5.4260631633081098E+18</v>
      </c>
    </row>
    <row r="3232" spans="1:2" ht="12.9" x14ac:dyDescent="0.35">
      <c r="A3232" s="401">
        <v>43051</v>
      </c>
      <c r="B3232" s="403">
        <v>5.4260631633081098E+18</v>
      </c>
    </row>
    <row r="3233" spans="1:2" ht="12.9" x14ac:dyDescent="0.35">
      <c r="A3233" s="401">
        <v>43052</v>
      </c>
      <c r="B3233" s="403">
        <v>9.4956105357891994E+18</v>
      </c>
    </row>
    <row r="3234" spans="1:2" ht="12.9" x14ac:dyDescent="0.35">
      <c r="A3234" s="401">
        <v>43053</v>
      </c>
      <c r="B3234" s="403">
        <v>8.6817010612929802E+18</v>
      </c>
    </row>
    <row r="3235" spans="1:2" ht="12.9" x14ac:dyDescent="0.35">
      <c r="A3235" s="401">
        <v>43054</v>
      </c>
      <c r="B3235" s="403">
        <v>1.03095200102854E+19</v>
      </c>
    </row>
    <row r="3236" spans="1:2" ht="12.9" x14ac:dyDescent="0.35">
      <c r="A3236" s="401">
        <v>43055</v>
      </c>
      <c r="B3236" s="403">
        <v>1.03095200102854E+19</v>
      </c>
    </row>
    <row r="3237" spans="1:2" ht="12.9" x14ac:dyDescent="0.35">
      <c r="A3237" s="401">
        <v>43056</v>
      </c>
      <c r="B3237" s="403">
        <v>1.13269068534056E+19</v>
      </c>
    </row>
    <row r="3238" spans="1:2" ht="12.9" x14ac:dyDescent="0.35">
      <c r="A3238" s="401">
        <v>43057</v>
      </c>
      <c r="B3238" s="403">
        <v>9.2243073776237896E+18</v>
      </c>
    </row>
    <row r="3239" spans="1:2" ht="12.9" x14ac:dyDescent="0.35">
      <c r="A3239" s="401">
        <v>43058</v>
      </c>
      <c r="B3239" s="403">
        <v>1.0852126326616199E+19</v>
      </c>
    </row>
    <row r="3240" spans="1:2" ht="12.9" x14ac:dyDescent="0.35">
      <c r="A3240" s="401">
        <v>43059</v>
      </c>
      <c r="B3240" s="403">
        <v>1.1869513169736499E+19</v>
      </c>
    </row>
    <row r="3241" spans="1:2" ht="12.9" x14ac:dyDescent="0.35">
      <c r="A3241" s="401">
        <v>43060</v>
      </c>
      <c r="B3241" s="403">
        <v>1.17338615906538E+19</v>
      </c>
    </row>
    <row r="3242" spans="1:2" ht="12.9" x14ac:dyDescent="0.35">
      <c r="A3242" s="401">
        <v>43061</v>
      </c>
      <c r="B3242" s="403">
        <v>1.0038216852120001E+19</v>
      </c>
    </row>
    <row r="3243" spans="1:2" ht="12.9" x14ac:dyDescent="0.35">
      <c r="A3243" s="401">
        <v>43062</v>
      </c>
      <c r="B3243" s="403">
        <v>1.06486489579921E+19</v>
      </c>
    </row>
    <row r="3244" spans="1:2" ht="12.9" x14ac:dyDescent="0.35">
      <c r="A3244" s="401">
        <v>43063</v>
      </c>
      <c r="B3244" s="403">
        <v>1.0106042641661301E+19</v>
      </c>
    </row>
    <row r="3245" spans="1:2" ht="12.9" x14ac:dyDescent="0.35">
      <c r="A3245" s="401">
        <v>43064</v>
      </c>
      <c r="B3245" s="403">
        <v>1.04457294715118E+19</v>
      </c>
    </row>
    <row r="3246" spans="1:2" ht="12.9" x14ac:dyDescent="0.35">
      <c r="A3246" s="401">
        <v>43065</v>
      </c>
      <c r="B3246" s="403">
        <v>1.0244850058598101E+19</v>
      </c>
    </row>
    <row r="3247" spans="1:2" ht="12.9" x14ac:dyDescent="0.35">
      <c r="A3247" s="401">
        <v>43066</v>
      </c>
      <c r="B3247" s="403">
        <v>1.1383166731775701E+19</v>
      </c>
    </row>
    <row r="3248" spans="1:2" ht="12.9" x14ac:dyDescent="0.35">
      <c r="A3248" s="401">
        <v>43067</v>
      </c>
      <c r="B3248" s="403">
        <v>1.04457294715118E+19</v>
      </c>
    </row>
    <row r="3249" spans="1:2" ht="12.9" x14ac:dyDescent="0.35">
      <c r="A3249" s="401">
        <v>43068</v>
      </c>
      <c r="B3249" s="403">
        <v>1.15840461446894E+19</v>
      </c>
    </row>
    <row r="3250" spans="1:2" ht="12.9" x14ac:dyDescent="0.35">
      <c r="A3250" s="401">
        <v>43069</v>
      </c>
      <c r="B3250" s="403">
        <v>1.1182287318862E+19</v>
      </c>
    </row>
    <row r="3251" spans="1:2" ht="12.9" x14ac:dyDescent="0.35">
      <c r="A3251" s="401">
        <v>43070</v>
      </c>
      <c r="B3251" s="403">
        <v>1.2253644187734999E+19</v>
      </c>
    </row>
    <row r="3252" spans="1:2" ht="12.9" x14ac:dyDescent="0.35">
      <c r="A3252" s="401">
        <v>43071</v>
      </c>
      <c r="B3252" s="403">
        <v>1.0780528493034701E+19</v>
      </c>
    </row>
    <row r="3253" spans="1:2" ht="12.9" x14ac:dyDescent="0.35">
      <c r="A3253" s="401">
        <v>43072</v>
      </c>
      <c r="B3253" s="403">
        <v>1.1784925557603101E+19</v>
      </c>
    </row>
    <row r="3254" spans="1:2" ht="12.9" x14ac:dyDescent="0.35">
      <c r="A3254" s="401">
        <v>43073</v>
      </c>
      <c r="B3254" s="403">
        <v>1.2119724579125899E+19</v>
      </c>
    </row>
    <row r="3255" spans="1:2" ht="12.9" x14ac:dyDescent="0.35">
      <c r="A3255" s="401">
        <v>43074</v>
      </c>
      <c r="B3255" s="403">
        <v>1.19188451662122E+19</v>
      </c>
    </row>
    <row r="3256" spans="1:2" ht="12.9" x14ac:dyDescent="0.35">
      <c r="A3256" s="401">
        <v>43075</v>
      </c>
      <c r="B3256" s="403">
        <v>1.25884432092579E+19</v>
      </c>
    </row>
    <row r="3257" spans="1:2" ht="12.9" x14ac:dyDescent="0.35">
      <c r="A3257" s="401">
        <v>43076</v>
      </c>
      <c r="B3257" s="403">
        <v>1.20207551114561E+19</v>
      </c>
    </row>
    <row r="3258" spans="1:2" ht="12.9" x14ac:dyDescent="0.35">
      <c r="A3258" s="401">
        <v>43077</v>
      </c>
      <c r="B3258" s="403">
        <v>1.23370907722839E+19</v>
      </c>
    </row>
    <row r="3259" spans="1:2" ht="12.9" x14ac:dyDescent="0.35">
      <c r="A3259" s="401">
        <v>43078</v>
      </c>
      <c r="B3259" s="403">
        <v>1.3760601246009E+19</v>
      </c>
    </row>
    <row r="3260" spans="1:2" ht="12.9" x14ac:dyDescent="0.35">
      <c r="A3260" s="401">
        <v>43079</v>
      </c>
      <c r="B3260" s="403">
        <v>1.2969762093939499E+19</v>
      </c>
    </row>
    <row r="3261" spans="1:2" ht="12.9" x14ac:dyDescent="0.35">
      <c r="A3261" s="401">
        <v>43080</v>
      </c>
      <c r="B3261" s="403">
        <v>1.35233495003881E+19</v>
      </c>
    </row>
    <row r="3262" spans="1:2" ht="12.9" x14ac:dyDescent="0.35">
      <c r="A3262" s="401">
        <v>43081</v>
      </c>
      <c r="B3262" s="403">
        <v>1.23370907722839E+19</v>
      </c>
    </row>
    <row r="3263" spans="1:2" ht="12.9" x14ac:dyDescent="0.35">
      <c r="A3263" s="401">
        <v>43082</v>
      </c>
      <c r="B3263" s="403">
        <v>1.4709608228492401E+19</v>
      </c>
    </row>
    <row r="3264" spans="1:2" ht="12.9" x14ac:dyDescent="0.35">
      <c r="A3264" s="401">
        <v>43083</v>
      </c>
      <c r="B3264" s="403">
        <v>1.4630524313285401E+19</v>
      </c>
    </row>
    <row r="3265" spans="1:2" ht="12.9" x14ac:dyDescent="0.35">
      <c r="A3265" s="401">
        <v>43084</v>
      </c>
      <c r="B3265" s="403">
        <v>1.33651816699742E+19</v>
      </c>
    </row>
    <row r="3266" spans="1:2" ht="12.9" x14ac:dyDescent="0.35">
      <c r="A3266" s="401">
        <v>43085</v>
      </c>
      <c r="B3266" s="403">
        <v>1.35233495003881E+19</v>
      </c>
    </row>
    <row r="3267" spans="1:2" ht="12.9" x14ac:dyDescent="0.35">
      <c r="A3267" s="401">
        <v>43086</v>
      </c>
      <c r="B3267" s="403">
        <v>1.4630524313285401E+19</v>
      </c>
    </row>
    <row r="3268" spans="1:2" ht="12.9" x14ac:dyDescent="0.35">
      <c r="A3268" s="401">
        <v>43087</v>
      </c>
      <c r="B3268" s="403">
        <v>1.4393272567664599E+19</v>
      </c>
    </row>
    <row r="3269" spans="1:2" ht="12.9" x14ac:dyDescent="0.35">
      <c r="A3269" s="401">
        <v>43088</v>
      </c>
      <c r="B3269" s="403">
        <v>1.3035760950520199E+19</v>
      </c>
    </row>
    <row r="3270" spans="1:2" ht="12.9" x14ac:dyDescent="0.35">
      <c r="A3270" s="401">
        <v>43089</v>
      </c>
      <c r="B3270" s="403">
        <v>1.26633106376482E+19</v>
      </c>
    </row>
    <row r="3271" spans="1:2" ht="12.9" x14ac:dyDescent="0.35">
      <c r="A3271" s="401">
        <v>43090</v>
      </c>
      <c r="B3271" s="403">
        <v>1.22908603247762E+19</v>
      </c>
    </row>
    <row r="3272" spans="1:2" ht="12.9" x14ac:dyDescent="0.35">
      <c r="A3272" s="401">
        <v>43091</v>
      </c>
      <c r="B3272" s="403">
        <v>1.4432449623790201E+19</v>
      </c>
    </row>
    <row r="3273" spans="1:2" ht="12.9" x14ac:dyDescent="0.35">
      <c r="A3273" s="401">
        <v>43092</v>
      </c>
      <c r="B3273" s="403">
        <v>1.2942648372302201E+19</v>
      </c>
    </row>
    <row r="3274" spans="1:2" ht="12.9" x14ac:dyDescent="0.35">
      <c r="A3274" s="401">
        <v>43093</v>
      </c>
      <c r="B3274" s="403">
        <v>1.41531118891362E+19</v>
      </c>
    </row>
    <row r="3275" spans="1:2" ht="12.9" x14ac:dyDescent="0.35">
      <c r="A3275" s="401">
        <v>43094</v>
      </c>
      <c r="B3275" s="403">
        <v>1.2570198059430199E+19</v>
      </c>
    </row>
    <row r="3276" spans="1:2" ht="12.9" x14ac:dyDescent="0.35">
      <c r="A3276" s="401">
        <v>43095</v>
      </c>
      <c r="B3276" s="403">
        <v>1.32219861069562E+19</v>
      </c>
    </row>
    <row r="3277" spans="1:2" ht="12.9" x14ac:dyDescent="0.35">
      <c r="A3277" s="401">
        <v>43096</v>
      </c>
      <c r="B3277" s="403">
        <v>1.4525562202008199E+19</v>
      </c>
    </row>
    <row r="3278" spans="1:2" ht="12.9" x14ac:dyDescent="0.35">
      <c r="A3278" s="401">
        <v>43097</v>
      </c>
      <c r="B3278" s="403">
        <v>1.3873774154482201E+19</v>
      </c>
    </row>
    <row r="3279" spans="1:2" ht="12.9" x14ac:dyDescent="0.35">
      <c r="A3279" s="401">
        <v>43098</v>
      </c>
      <c r="B3279" s="403">
        <v>1.5363575405970301E+19</v>
      </c>
    </row>
    <row r="3280" spans="1:2" ht="12.9" x14ac:dyDescent="0.35">
      <c r="A3280" s="401">
        <v>43099</v>
      </c>
      <c r="B3280" s="403">
        <v>1.36875489980462E+19</v>
      </c>
    </row>
    <row r="3281" spans="1:2" ht="12.9" x14ac:dyDescent="0.35">
      <c r="A3281" s="401">
        <v>43100</v>
      </c>
      <c r="B3281" s="403">
        <v>1.51773502495343E+19</v>
      </c>
    </row>
    <row r="3282" spans="1:2" ht="12.9" x14ac:dyDescent="0.35">
      <c r="A3282" s="401">
        <v>43101</v>
      </c>
      <c r="B3282" s="403">
        <v>1.4975580959693799E+19</v>
      </c>
    </row>
    <row r="3283" spans="1:2" ht="12.9" x14ac:dyDescent="0.35">
      <c r="A3283" s="401">
        <v>43102</v>
      </c>
      <c r="B3283" s="403">
        <v>1.6415540667356701E+19</v>
      </c>
    </row>
    <row r="3284" spans="1:2" ht="12.9" x14ac:dyDescent="0.35">
      <c r="A3284" s="401">
        <v>43103</v>
      </c>
      <c r="B3284" s="403">
        <v>1.5071578273538001E+19</v>
      </c>
    </row>
    <row r="3285" spans="1:2" ht="12.9" x14ac:dyDescent="0.35">
      <c r="A3285" s="401">
        <v>43104</v>
      </c>
      <c r="B3285" s="403">
        <v>1.61275487258241E+19</v>
      </c>
    </row>
    <row r="3286" spans="1:2" ht="12.9" x14ac:dyDescent="0.35">
      <c r="A3286" s="401">
        <v>43105</v>
      </c>
      <c r="B3286" s="403">
        <v>1.3727615879719299E+19</v>
      </c>
    </row>
    <row r="3287" spans="1:2" ht="12.9" x14ac:dyDescent="0.35">
      <c r="A3287" s="401">
        <v>43106</v>
      </c>
      <c r="B3287" s="403">
        <v>1.61275487258241E+19</v>
      </c>
    </row>
    <row r="3288" spans="1:2" ht="12.9" x14ac:dyDescent="0.35">
      <c r="A3288" s="401">
        <v>43107</v>
      </c>
      <c r="B3288" s="403">
        <v>1.55515648427589E+19</v>
      </c>
    </row>
    <row r="3289" spans="1:2" ht="12.9" x14ac:dyDescent="0.35">
      <c r="A3289" s="401">
        <v>43108</v>
      </c>
      <c r="B3289" s="403">
        <v>1.5935554098135699E+19</v>
      </c>
    </row>
    <row r="3290" spans="1:2" ht="12.9" x14ac:dyDescent="0.35">
      <c r="A3290" s="401">
        <v>43109</v>
      </c>
      <c r="B3290" s="403">
        <v>1.5743559470447301E+19</v>
      </c>
    </row>
    <row r="3291" spans="1:2" ht="12.9" x14ac:dyDescent="0.35">
      <c r="A3291" s="401">
        <v>43110</v>
      </c>
      <c r="B3291" s="403">
        <v>1.5935554098135699E+19</v>
      </c>
    </row>
    <row r="3292" spans="1:2" ht="12.9" x14ac:dyDescent="0.35">
      <c r="A3292" s="401">
        <v>43111</v>
      </c>
      <c r="B3292" s="403">
        <v>1.85274815719289E+19</v>
      </c>
    </row>
    <row r="3293" spans="1:2" ht="12.9" x14ac:dyDescent="0.35">
      <c r="A3293" s="401">
        <v>43112</v>
      </c>
      <c r="B3293" s="403">
        <v>1.7087521864266E+19</v>
      </c>
    </row>
    <row r="3294" spans="1:2" ht="12.9" x14ac:dyDescent="0.35">
      <c r="A3294" s="401">
        <v>43113</v>
      </c>
      <c r="B3294" s="403">
        <v>1.6501289113758599E+19</v>
      </c>
    </row>
    <row r="3295" spans="1:2" ht="12.9" x14ac:dyDescent="0.35">
      <c r="A3295" s="401">
        <v>43114</v>
      </c>
      <c r="B3295" s="403">
        <v>1.7165770554581E+19</v>
      </c>
    </row>
    <row r="3296" spans="1:2" ht="12.9" x14ac:dyDescent="0.35">
      <c r="A3296" s="401">
        <v>43115</v>
      </c>
      <c r="B3296" s="403">
        <v>1.6612036020562301E+19</v>
      </c>
    </row>
    <row r="3297" spans="1:2" ht="12.9" x14ac:dyDescent="0.35">
      <c r="A3297" s="401">
        <v>43116</v>
      </c>
      <c r="B3297" s="403">
        <v>1.7608758181796E+19</v>
      </c>
    </row>
    <row r="3298" spans="1:2" ht="12.9" x14ac:dyDescent="0.35">
      <c r="A3298" s="401">
        <v>43117</v>
      </c>
      <c r="B3298" s="403">
        <v>1.8494733436225999E+19</v>
      </c>
    </row>
    <row r="3299" spans="1:2" ht="12.9" x14ac:dyDescent="0.35">
      <c r="A3299" s="401">
        <v>43118</v>
      </c>
      <c r="B3299" s="403">
        <v>1.91592148770485E+19</v>
      </c>
    </row>
    <row r="3300" spans="1:2" ht="12.9" x14ac:dyDescent="0.35">
      <c r="A3300" s="401">
        <v>43119</v>
      </c>
      <c r="B3300" s="403">
        <v>1.8273239622618499E+19</v>
      </c>
    </row>
    <row r="3301" spans="1:2" ht="12.9" x14ac:dyDescent="0.35">
      <c r="A3301" s="401">
        <v>43120</v>
      </c>
      <c r="B3301" s="403">
        <v>1.9712949411067302E+19</v>
      </c>
    </row>
    <row r="3302" spans="1:2" ht="12.9" x14ac:dyDescent="0.35">
      <c r="A3302" s="401">
        <v>43121</v>
      </c>
      <c r="B3302" s="403">
        <v>2.0709671572301001E+19</v>
      </c>
    </row>
    <row r="3303" spans="1:2" ht="12.9" x14ac:dyDescent="0.35">
      <c r="A3303" s="401">
        <v>43122</v>
      </c>
      <c r="B3303" s="403">
        <v>1.8494733436225999E+19</v>
      </c>
    </row>
    <row r="3304" spans="1:2" ht="12.9" x14ac:dyDescent="0.35">
      <c r="A3304" s="401">
        <v>43123</v>
      </c>
      <c r="B3304" s="403">
        <v>1.96022025042635E+19</v>
      </c>
    </row>
    <row r="3305" spans="1:2" ht="12.9" x14ac:dyDescent="0.35">
      <c r="A3305" s="401">
        <v>43124</v>
      </c>
      <c r="B3305" s="403">
        <v>1.94914555974598E+19</v>
      </c>
    </row>
    <row r="3306" spans="1:2" ht="12.9" x14ac:dyDescent="0.35">
      <c r="A3306" s="401">
        <v>43125</v>
      </c>
      <c r="B3306" s="403">
        <v>2.04451485647802E+19</v>
      </c>
    </row>
    <row r="3307" spans="1:2" ht="12.9" x14ac:dyDescent="0.35">
      <c r="A3307" s="401">
        <v>43126</v>
      </c>
      <c r="B3307" s="403">
        <v>2.0056949541398299E+19</v>
      </c>
    </row>
    <row r="3308" spans="1:2" ht="12.9" x14ac:dyDescent="0.35">
      <c r="A3308" s="401">
        <v>43127</v>
      </c>
      <c r="B3308" s="403">
        <v>2.0315748890319602E+19</v>
      </c>
    </row>
    <row r="3309" spans="1:2" ht="12.9" x14ac:dyDescent="0.35">
      <c r="A3309" s="401">
        <v>43128</v>
      </c>
      <c r="B3309" s="403">
        <v>2.04451485647802E+19</v>
      </c>
    </row>
    <row r="3310" spans="1:2" ht="12.9" x14ac:dyDescent="0.35">
      <c r="A3310" s="401">
        <v>43129</v>
      </c>
      <c r="B3310" s="403">
        <v>1.9151151820173902E+19</v>
      </c>
    </row>
    <row r="3311" spans="1:2" ht="12.9" x14ac:dyDescent="0.35">
      <c r="A3311" s="401">
        <v>43130</v>
      </c>
      <c r="B3311" s="403">
        <v>2.16097456349259E+19</v>
      </c>
    </row>
    <row r="3312" spans="1:2" ht="12.9" x14ac:dyDescent="0.35">
      <c r="A3312" s="401">
        <v>43131</v>
      </c>
      <c r="B3312" s="403">
        <v>1.51397619118942E+19</v>
      </c>
    </row>
    <row r="3313" spans="1:2" ht="12.9" x14ac:dyDescent="0.35">
      <c r="A3313" s="401">
        <v>43132</v>
      </c>
      <c r="B3313" s="403">
        <v>2.0703947913701499E+19</v>
      </c>
    </row>
    <row r="3314" spans="1:2" ht="12.9" x14ac:dyDescent="0.35">
      <c r="A3314" s="401">
        <v>43133</v>
      </c>
      <c r="B3314" s="403">
        <v>2.17391453093866E+19</v>
      </c>
    </row>
    <row r="3315" spans="1:2" ht="12.9" x14ac:dyDescent="0.35">
      <c r="A3315" s="401">
        <v>43134</v>
      </c>
      <c r="B3315" s="403">
        <v>2.04451485647802E+19</v>
      </c>
    </row>
    <row r="3316" spans="1:2" ht="12.9" x14ac:dyDescent="0.35">
      <c r="A3316" s="401">
        <v>43135</v>
      </c>
      <c r="B3316" s="403">
        <v>2.3033142053992899E+19</v>
      </c>
    </row>
    <row r="3317" spans="1:2" ht="12.9" x14ac:dyDescent="0.35">
      <c r="A3317" s="401">
        <v>43136</v>
      </c>
      <c r="B3317" s="403">
        <v>2.3938939775217402E+19</v>
      </c>
    </row>
    <row r="3318" spans="1:2" ht="12.9" x14ac:dyDescent="0.35">
      <c r="A3318" s="401">
        <v>43137</v>
      </c>
      <c r="B3318" s="403">
        <v>2.1997944658307801E+19</v>
      </c>
    </row>
    <row r="3319" spans="1:2" ht="12.9" x14ac:dyDescent="0.35">
      <c r="A3319" s="401">
        <v>43138</v>
      </c>
      <c r="B3319" s="403">
        <v>2.0149017211913302E+19</v>
      </c>
    </row>
    <row r="3320" spans="1:2" ht="12.9" x14ac:dyDescent="0.35">
      <c r="A3320" s="401">
        <v>43139</v>
      </c>
      <c r="B3320" s="403">
        <v>1.87200088990116E+19</v>
      </c>
    </row>
    <row r="3321" spans="1:2" ht="12.9" x14ac:dyDescent="0.35">
      <c r="A3321" s="401">
        <v>43140</v>
      </c>
      <c r="B3321" s="403">
        <v>1.9291612224172298E+19</v>
      </c>
    </row>
    <row r="3322" spans="1:2" ht="12.9" x14ac:dyDescent="0.35">
      <c r="A3322" s="401">
        <v>43141</v>
      </c>
      <c r="B3322" s="403">
        <v>2.04348188744936E+19</v>
      </c>
    </row>
    <row r="3323" spans="1:2" ht="12.9" x14ac:dyDescent="0.35">
      <c r="A3323" s="401">
        <v>43142</v>
      </c>
      <c r="B3323" s="403">
        <v>2.1578025524815E+19</v>
      </c>
    </row>
    <row r="3324" spans="1:2" ht="12.9" x14ac:dyDescent="0.35">
      <c r="A3324" s="401">
        <v>43143</v>
      </c>
      <c r="B3324" s="403">
        <v>2.3721537994167398E+19</v>
      </c>
    </row>
    <row r="3325" spans="1:2" ht="12.9" x14ac:dyDescent="0.35">
      <c r="A3325" s="401">
        <v>43144</v>
      </c>
      <c r="B3325" s="403">
        <v>2.3435736331587101E+19</v>
      </c>
    </row>
    <row r="3326" spans="1:2" ht="12.9" x14ac:dyDescent="0.35">
      <c r="A3326" s="401">
        <v>43145</v>
      </c>
      <c r="B3326" s="403">
        <v>2.5579248800939602E+19</v>
      </c>
    </row>
    <row r="3327" spans="1:2" ht="12.9" x14ac:dyDescent="0.35">
      <c r="A3327" s="401">
        <v>43146</v>
      </c>
      <c r="B3327" s="403">
        <v>1.87200088990116E+19</v>
      </c>
    </row>
    <row r="3328" spans="1:2" ht="12.9" x14ac:dyDescent="0.35">
      <c r="A3328" s="401">
        <v>43147</v>
      </c>
      <c r="B3328" s="403">
        <v>2.2435430512555901E+19</v>
      </c>
    </row>
    <row r="3329" spans="1:2" ht="12.9" x14ac:dyDescent="0.35">
      <c r="A3329" s="401">
        <v>43148</v>
      </c>
      <c r="B3329" s="403">
        <v>2.1292223862234599E+19</v>
      </c>
    </row>
    <row r="3330" spans="1:2" ht="12.9" x14ac:dyDescent="0.35">
      <c r="A3330" s="401">
        <v>43149</v>
      </c>
      <c r="B3330" s="403">
        <v>2.3149934669006799E+19</v>
      </c>
    </row>
    <row r="3331" spans="1:2" ht="12.9" x14ac:dyDescent="0.35">
      <c r="A3331" s="401">
        <v>43150</v>
      </c>
      <c r="B3331" s="403">
        <v>2.3149934669006799E+19</v>
      </c>
    </row>
    <row r="3332" spans="1:2" ht="12.9" x14ac:dyDescent="0.35">
      <c r="A3332" s="401">
        <v>43151</v>
      </c>
      <c r="B3332" s="403">
        <v>2.10791986660828E+19</v>
      </c>
    </row>
    <row r="3333" spans="1:2" ht="12.9" x14ac:dyDescent="0.35">
      <c r="A3333" s="401">
        <v>43152</v>
      </c>
      <c r="B3333" s="403">
        <v>2.5265138826723299E+19</v>
      </c>
    </row>
    <row r="3334" spans="1:2" ht="12.9" x14ac:dyDescent="0.35">
      <c r="A3334" s="401">
        <v>43153</v>
      </c>
      <c r="B3334" s="403">
        <v>2.2275181569122902E+19</v>
      </c>
    </row>
    <row r="3335" spans="1:2" ht="12.9" x14ac:dyDescent="0.35">
      <c r="A3335" s="401">
        <v>43154</v>
      </c>
      <c r="B3335" s="403">
        <v>2.21256837062429E+19</v>
      </c>
    </row>
    <row r="3336" spans="1:2" ht="12.9" x14ac:dyDescent="0.35">
      <c r="A3336" s="401">
        <v>43155</v>
      </c>
      <c r="B3336" s="403">
        <v>2.1677190117602902E+19</v>
      </c>
    </row>
    <row r="3337" spans="1:2" ht="12.9" x14ac:dyDescent="0.35">
      <c r="A3337" s="401">
        <v>43156</v>
      </c>
      <c r="B3337" s="403">
        <v>2.5564134552483402E+19</v>
      </c>
    </row>
    <row r="3338" spans="1:2" ht="12.9" x14ac:dyDescent="0.35">
      <c r="A3338" s="401">
        <v>43157</v>
      </c>
      <c r="B3338" s="403">
        <v>2.10791986660828E+19</v>
      </c>
    </row>
    <row r="3339" spans="1:2" ht="12.9" x14ac:dyDescent="0.35">
      <c r="A3339" s="401">
        <v>43158</v>
      </c>
      <c r="B3339" s="403">
        <v>2.3919658060803199E+19</v>
      </c>
    </row>
    <row r="3340" spans="1:2" ht="12.9" x14ac:dyDescent="0.35">
      <c r="A3340" s="401">
        <v>43159</v>
      </c>
      <c r="B3340" s="403">
        <v>2.3172168746403099E+19</v>
      </c>
    </row>
    <row r="3341" spans="1:2" ht="12.9" x14ac:dyDescent="0.35">
      <c r="A3341" s="401">
        <v>43160</v>
      </c>
      <c r="B3341" s="403">
        <v>2.4667147375203299E+19</v>
      </c>
    </row>
    <row r="3342" spans="1:2" ht="12.9" x14ac:dyDescent="0.35">
      <c r="A3342" s="401">
        <v>43161</v>
      </c>
      <c r="B3342" s="403">
        <v>2.3321666609283101E+19</v>
      </c>
    </row>
    <row r="3343" spans="1:2" ht="12.9" x14ac:dyDescent="0.35">
      <c r="A3343" s="401">
        <v>43162</v>
      </c>
      <c r="B3343" s="403">
        <v>2.69096153184036E+19</v>
      </c>
    </row>
    <row r="3344" spans="1:2" ht="12.9" x14ac:dyDescent="0.35">
      <c r="A3344" s="401">
        <v>43163</v>
      </c>
      <c r="B3344" s="403">
        <v>2.21256837062429E+19</v>
      </c>
    </row>
    <row r="3345" spans="1:2" ht="12.9" x14ac:dyDescent="0.35">
      <c r="A3345" s="401">
        <v>43164</v>
      </c>
      <c r="B3345" s="403">
        <v>2.4372959730936799E+19</v>
      </c>
    </row>
    <row r="3346" spans="1:2" ht="12.9" x14ac:dyDescent="0.35">
      <c r="A3346" s="401">
        <v>43165</v>
      </c>
      <c r="B3346" s="403">
        <v>2.5517998107557999E+19</v>
      </c>
    </row>
    <row r="3347" spans="1:2" ht="12.9" x14ac:dyDescent="0.35">
      <c r="A3347" s="401">
        <v>43166</v>
      </c>
      <c r="B3347" s="403">
        <v>2.5681575018503901E+19</v>
      </c>
    </row>
    <row r="3348" spans="1:2" ht="12.9" x14ac:dyDescent="0.35">
      <c r="A3348" s="401">
        <v>43167</v>
      </c>
      <c r="B3348" s="403">
        <v>2.6499459573233299E+19</v>
      </c>
    </row>
    <row r="3349" spans="1:2" ht="12.9" x14ac:dyDescent="0.35">
      <c r="A3349" s="401">
        <v>43168</v>
      </c>
      <c r="B3349" s="403">
        <v>2.3882228998099198E+19</v>
      </c>
    </row>
    <row r="3350" spans="1:2" ht="12.9" x14ac:dyDescent="0.35">
      <c r="A3350" s="401">
        <v>43169</v>
      </c>
      <c r="B3350" s="403">
        <v>2.2900767532423901E+19</v>
      </c>
    </row>
    <row r="3351" spans="1:2" ht="12.9" x14ac:dyDescent="0.35">
      <c r="A3351" s="401">
        <v>43170</v>
      </c>
      <c r="B3351" s="403">
        <v>2.5027267374720401E+19</v>
      </c>
    </row>
    <row r="3352" spans="1:2" ht="12.9" x14ac:dyDescent="0.35">
      <c r="A3352" s="401">
        <v>43171</v>
      </c>
      <c r="B3352" s="403">
        <v>2.6335882662287499E+19</v>
      </c>
    </row>
    <row r="3353" spans="1:2" ht="12.9" x14ac:dyDescent="0.35">
      <c r="A3353" s="401">
        <v>43172</v>
      </c>
      <c r="B3353" s="403">
        <v>2.58451519294498E+19</v>
      </c>
    </row>
    <row r="3354" spans="1:2" ht="12.9" x14ac:dyDescent="0.35">
      <c r="A3354" s="401">
        <v>43173</v>
      </c>
      <c r="B3354" s="403">
        <v>2.3555075176207401E+19</v>
      </c>
    </row>
    <row r="3355" spans="1:2" ht="12.9" x14ac:dyDescent="0.35">
      <c r="A3355" s="401">
        <v>43174</v>
      </c>
      <c r="B3355" s="403">
        <v>2.3555075176207401E+19</v>
      </c>
    </row>
    <row r="3356" spans="1:2" ht="12.9" x14ac:dyDescent="0.35">
      <c r="A3356" s="401">
        <v>43175</v>
      </c>
      <c r="B3356" s="403">
        <v>2.5517998107557999E+19</v>
      </c>
    </row>
    <row r="3357" spans="1:2" ht="12.9" x14ac:dyDescent="0.35">
      <c r="A3357" s="401">
        <v>43176</v>
      </c>
      <c r="B3357" s="403">
        <v>2.4372959730936799E+19</v>
      </c>
    </row>
    <row r="3358" spans="1:2" ht="12.9" x14ac:dyDescent="0.35">
      <c r="A3358" s="401">
        <v>43177</v>
      </c>
      <c r="B3358" s="403">
        <v>2.59907112963934E+19</v>
      </c>
    </row>
    <row r="3359" spans="1:2" ht="12.9" x14ac:dyDescent="0.35">
      <c r="A3359" s="401">
        <v>43178</v>
      </c>
      <c r="B3359" s="403">
        <v>2.6679206959873999E+19</v>
      </c>
    </row>
    <row r="3360" spans="1:2" ht="12.9" x14ac:dyDescent="0.35">
      <c r="A3360" s="401">
        <v>43179</v>
      </c>
      <c r="B3360" s="403">
        <v>2.1859737315509699E+19</v>
      </c>
    </row>
    <row r="3361" spans="1:2" ht="12.9" x14ac:dyDescent="0.35">
      <c r="A3361" s="401">
        <v>43180</v>
      </c>
      <c r="B3361" s="403">
        <v>2.6162835212263502E+19</v>
      </c>
    </row>
    <row r="3362" spans="1:2" ht="12.9" x14ac:dyDescent="0.35">
      <c r="A3362" s="401">
        <v>43181</v>
      </c>
      <c r="B3362" s="403">
        <v>2.4613719969432101E+19</v>
      </c>
    </row>
    <row r="3363" spans="1:2" ht="12.9" x14ac:dyDescent="0.35">
      <c r="A3363" s="401">
        <v>43182</v>
      </c>
      <c r="B3363" s="403">
        <v>2.2892480810730598E+19</v>
      </c>
    </row>
    <row r="3364" spans="1:2" ht="12.9" x14ac:dyDescent="0.35">
      <c r="A3364" s="401">
        <v>43183</v>
      </c>
      <c r="B3364" s="403">
        <v>2.6851330875744199E+19</v>
      </c>
    </row>
    <row r="3365" spans="1:2" ht="12.9" x14ac:dyDescent="0.35">
      <c r="A3365" s="401">
        <v>43184</v>
      </c>
      <c r="B3365" s="403">
        <v>2.32367286424709E+19</v>
      </c>
    </row>
    <row r="3366" spans="1:2" ht="12.9" x14ac:dyDescent="0.35">
      <c r="A3366" s="401">
        <v>43185</v>
      </c>
      <c r="B3366" s="403">
        <v>2.5818587380523201E+19</v>
      </c>
    </row>
    <row r="3367" spans="1:2" ht="12.9" x14ac:dyDescent="0.35">
      <c r="A3367" s="401">
        <v>43186</v>
      </c>
      <c r="B3367" s="403">
        <v>2.6162835212263502E+19</v>
      </c>
    </row>
    <row r="3368" spans="1:2" ht="12.9" x14ac:dyDescent="0.35">
      <c r="A3368" s="401">
        <v>43187</v>
      </c>
      <c r="B3368" s="403">
        <v>2.32367286424709E+19</v>
      </c>
    </row>
    <row r="3369" spans="1:2" ht="12.9" x14ac:dyDescent="0.35">
      <c r="A3369" s="401">
        <v>43188</v>
      </c>
      <c r="B3369" s="403">
        <v>2.6162835212263502E+19</v>
      </c>
    </row>
    <row r="3370" spans="1:2" ht="12.9" x14ac:dyDescent="0.35">
      <c r="A3370" s="401">
        <v>43189</v>
      </c>
      <c r="B3370" s="403">
        <v>2.7884074370965098E+19</v>
      </c>
    </row>
    <row r="3371" spans="1:2" ht="12.9" x14ac:dyDescent="0.35">
      <c r="A3371" s="401">
        <v>43190</v>
      </c>
      <c r="B3371" s="403">
        <v>2.20318612313798E+19</v>
      </c>
    </row>
    <row r="3372" spans="1:2" ht="12.9" x14ac:dyDescent="0.35">
      <c r="A3372" s="401">
        <v>43191</v>
      </c>
      <c r="B3372" s="403">
        <v>2.8274794216837399E+19</v>
      </c>
    </row>
    <row r="3373" spans="1:2" ht="12.9" x14ac:dyDescent="0.35">
      <c r="A3373" s="401">
        <v>43192</v>
      </c>
      <c r="B3373" s="403">
        <v>2.7227579616213799E+19</v>
      </c>
    </row>
    <row r="3374" spans="1:2" ht="12.9" x14ac:dyDescent="0.35">
      <c r="A3374" s="401">
        <v>43193</v>
      </c>
      <c r="B3374" s="403">
        <v>2.8449329983608001E+19</v>
      </c>
    </row>
    <row r="3375" spans="1:2" ht="12.9" x14ac:dyDescent="0.35">
      <c r="A3375" s="401">
        <v>43194</v>
      </c>
      <c r="B3375" s="403">
        <v>2.5656757715278402E+19</v>
      </c>
    </row>
    <row r="3376" spans="1:2" ht="12.9" x14ac:dyDescent="0.35">
      <c r="A3376" s="401">
        <v>43195</v>
      </c>
      <c r="B3376" s="403">
        <v>2.7227579616213799E+19</v>
      </c>
    </row>
    <row r="3377" spans="1:2" ht="12.9" x14ac:dyDescent="0.35">
      <c r="A3377" s="401">
        <v>43196</v>
      </c>
      <c r="B3377" s="403">
        <v>2.4085935814343E+19</v>
      </c>
    </row>
    <row r="3378" spans="1:2" ht="12.9" x14ac:dyDescent="0.35">
      <c r="A3378" s="401">
        <v>43197</v>
      </c>
      <c r="B3378" s="403">
        <v>3.1416438018708201E+19</v>
      </c>
    </row>
    <row r="3379" spans="1:2" ht="12.9" x14ac:dyDescent="0.35">
      <c r="A3379" s="401">
        <v>43198</v>
      </c>
      <c r="B3379" s="403">
        <v>2.8100258450066801E+19</v>
      </c>
    </row>
    <row r="3380" spans="1:2" ht="12.9" x14ac:dyDescent="0.35">
      <c r="A3380" s="401">
        <v>43199</v>
      </c>
      <c r="B3380" s="403">
        <v>2.5656757715278402E+19</v>
      </c>
    </row>
    <row r="3381" spans="1:2" ht="12.9" x14ac:dyDescent="0.35">
      <c r="A3381" s="401">
        <v>43200</v>
      </c>
      <c r="B3381" s="403">
        <v>2.8623865750378598E+19</v>
      </c>
    </row>
    <row r="3382" spans="1:2" ht="12.9" x14ac:dyDescent="0.35">
      <c r="A3382" s="401">
        <v>43201</v>
      </c>
      <c r="B3382" s="403">
        <v>2.8100258450066801E+19</v>
      </c>
    </row>
    <row r="3383" spans="1:2" ht="12.9" x14ac:dyDescent="0.35">
      <c r="A3383" s="401">
        <v>43202</v>
      </c>
      <c r="B3383" s="403">
        <v>2.6878508082672599E+19</v>
      </c>
    </row>
    <row r="3384" spans="1:2" ht="12.9" x14ac:dyDescent="0.35">
      <c r="A3384" s="401">
        <v>43203</v>
      </c>
      <c r="B3384" s="403">
        <v>2.87984015171492E+19</v>
      </c>
    </row>
    <row r="3385" spans="1:2" ht="12.9" x14ac:dyDescent="0.35">
      <c r="A3385" s="401">
        <v>43204</v>
      </c>
      <c r="B3385" s="403">
        <v>2.6146926519477101E+19</v>
      </c>
    </row>
    <row r="3386" spans="1:2" ht="12.9" x14ac:dyDescent="0.35">
      <c r="A3386" s="401">
        <v>43205</v>
      </c>
      <c r="B3386" s="403">
        <v>3.11091169538304E+19</v>
      </c>
    </row>
    <row r="3387" spans="1:2" ht="12.9" x14ac:dyDescent="0.35">
      <c r="A3387" s="401">
        <v>43206</v>
      </c>
      <c r="B3387" s="403">
        <v>2.69103404324545E+19</v>
      </c>
    </row>
    <row r="3388" spans="1:2" ht="12.9" x14ac:dyDescent="0.35">
      <c r="A3388" s="401">
        <v>43207</v>
      </c>
      <c r="B3388" s="403">
        <v>3.0918263475585999E+19</v>
      </c>
    </row>
    <row r="3389" spans="1:2" ht="12.9" x14ac:dyDescent="0.35">
      <c r="A3389" s="401">
        <v>43208</v>
      </c>
      <c r="B3389" s="403">
        <v>3.0536556519097299E+19</v>
      </c>
    </row>
    <row r="3390" spans="1:2" ht="12.9" x14ac:dyDescent="0.35">
      <c r="A3390" s="401">
        <v>43209</v>
      </c>
      <c r="B3390" s="403">
        <v>3.3971919127495799E+19</v>
      </c>
    </row>
    <row r="3391" spans="1:2" ht="12.9" x14ac:dyDescent="0.35">
      <c r="A3391" s="401">
        <v>43210</v>
      </c>
      <c r="B3391" s="403">
        <v>2.6146926519477101E+19</v>
      </c>
    </row>
    <row r="3392" spans="1:2" ht="12.9" x14ac:dyDescent="0.35">
      <c r="A3392" s="401">
        <v>43211</v>
      </c>
      <c r="B3392" s="403">
        <v>3.0345703040853E+19</v>
      </c>
    </row>
    <row r="3393" spans="1:2" ht="12.9" x14ac:dyDescent="0.35">
      <c r="A3393" s="401">
        <v>43212</v>
      </c>
      <c r="B3393" s="403">
        <v>3.0536556519097299E+19</v>
      </c>
    </row>
    <row r="3394" spans="1:2" ht="12.9" x14ac:dyDescent="0.35">
      <c r="A3394" s="401">
        <v>43213</v>
      </c>
      <c r="B3394" s="403">
        <v>2.9200582171386798E+19</v>
      </c>
    </row>
    <row r="3395" spans="1:2" ht="12.9" x14ac:dyDescent="0.35">
      <c r="A3395" s="401">
        <v>43214</v>
      </c>
      <c r="B3395" s="403">
        <v>3.0345703040853E+19</v>
      </c>
    </row>
    <row r="3396" spans="1:2" ht="12.9" x14ac:dyDescent="0.35">
      <c r="A3396" s="401">
        <v>43215</v>
      </c>
      <c r="B3396" s="403">
        <v>2.3474977824056001E+19</v>
      </c>
    </row>
    <row r="3397" spans="1:2" ht="12.9" x14ac:dyDescent="0.35">
      <c r="A3397" s="401">
        <v>43216</v>
      </c>
      <c r="B3397" s="403">
        <v>2.69103404324545E+19</v>
      </c>
    </row>
    <row r="3398" spans="1:2" ht="12.9" x14ac:dyDescent="0.35">
      <c r="A3398" s="401">
        <v>43217</v>
      </c>
      <c r="B3398" s="403">
        <v>2.83911458892921E+19</v>
      </c>
    </row>
    <row r="3399" spans="1:2" ht="12.9" x14ac:dyDescent="0.35">
      <c r="A3399" s="401">
        <v>43218</v>
      </c>
      <c r="B3399" s="403">
        <v>2.55920188297844E+19</v>
      </c>
    </row>
    <row r="3400" spans="1:2" ht="12.9" x14ac:dyDescent="0.35">
      <c r="A3400" s="401">
        <v>43219</v>
      </c>
      <c r="B3400" s="403">
        <v>3.1590148243015201E+19</v>
      </c>
    </row>
    <row r="3401" spans="1:2" ht="12.9" x14ac:dyDescent="0.35">
      <c r="A3401" s="401">
        <v>43220</v>
      </c>
      <c r="B3401" s="403">
        <v>3.0990335301692101E+19</v>
      </c>
    </row>
    <row r="3402" spans="1:2" ht="12.9" x14ac:dyDescent="0.35">
      <c r="A3402" s="401">
        <v>43221</v>
      </c>
      <c r="B3402" s="403">
        <v>3.1590148243015201E+19</v>
      </c>
    </row>
    <row r="3403" spans="1:2" ht="12.9" x14ac:dyDescent="0.35">
      <c r="A3403" s="401">
        <v>43222</v>
      </c>
      <c r="B3403" s="403">
        <v>2.7991270595076698E+19</v>
      </c>
    </row>
    <row r="3404" spans="1:2" ht="12.9" x14ac:dyDescent="0.35">
      <c r="A3404" s="401">
        <v>43223</v>
      </c>
      <c r="B3404" s="403">
        <v>3.0190584713261302E+19</v>
      </c>
    </row>
    <row r="3405" spans="1:2" ht="12.9" x14ac:dyDescent="0.35">
      <c r="A3405" s="401">
        <v>43224</v>
      </c>
      <c r="B3405" s="403">
        <v>2.7591395300861301E+19</v>
      </c>
    </row>
    <row r="3406" spans="1:2" ht="12.9" x14ac:dyDescent="0.35">
      <c r="A3406" s="401">
        <v>43225</v>
      </c>
      <c r="B3406" s="403">
        <v>3.2189961184338301E+19</v>
      </c>
    </row>
    <row r="3407" spans="1:2" ht="12.9" x14ac:dyDescent="0.35">
      <c r="A3407" s="401">
        <v>43226</v>
      </c>
      <c r="B3407" s="403">
        <v>2.73914576537537E+19</v>
      </c>
    </row>
    <row r="3408" spans="1:2" ht="12.9" x14ac:dyDescent="0.35">
      <c r="A3408" s="401">
        <v>43227</v>
      </c>
      <c r="B3408" s="403">
        <v>2.9990647066153599E+19</v>
      </c>
    </row>
    <row r="3409" spans="1:2" ht="12.9" x14ac:dyDescent="0.35">
      <c r="A3409" s="401">
        <v>43228</v>
      </c>
      <c r="B3409" s="403">
        <v>2.7791332947968999E+19</v>
      </c>
    </row>
    <row r="3410" spans="1:2" ht="12.9" x14ac:dyDescent="0.35">
      <c r="A3410" s="401">
        <v>43229</v>
      </c>
      <c r="B3410" s="403">
        <v>3.1990023537230598E+19</v>
      </c>
    </row>
    <row r="3411" spans="1:2" ht="12.9" x14ac:dyDescent="0.35">
      <c r="A3411" s="401">
        <v>43230</v>
      </c>
      <c r="B3411" s="403">
        <v>3.0790397654584402E+19</v>
      </c>
    </row>
    <row r="3412" spans="1:2" ht="12.9" x14ac:dyDescent="0.35">
      <c r="A3412" s="401">
        <v>43231</v>
      </c>
      <c r="B3412" s="403">
        <v>2.6161151169140998E+19</v>
      </c>
    </row>
    <row r="3413" spans="1:2" ht="12.9" x14ac:dyDescent="0.35">
      <c r="A3413" s="401">
        <v>43232</v>
      </c>
      <c r="B3413" s="403">
        <v>3.3988897188253999E+19</v>
      </c>
    </row>
    <row r="3414" spans="1:2" ht="12.9" x14ac:dyDescent="0.35">
      <c r="A3414" s="401">
        <v>43233</v>
      </c>
      <c r="B3414" s="403">
        <v>3.0487010811282399E+19</v>
      </c>
    </row>
    <row r="3415" spans="1:2" ht="12.9" x14ac:dyDescent="0.35">
      <c r="A3415" s="401">
        <v>43234</v>
      </c>
      <c r="B3415" s="403">
        <v>2.7191117750603198E+19</v>
      </c>
    </row>
    <row r="3416" spans="1:2" ht="12.9" x14ac:dyDescent="0.35">
      <c r="A3416" s="401">
        <v>43235</v>
      </c>
      <c r="B3416" s="403">
        <v>3.0075024178697499E+19</v>
      </c>
    </row>
    <row r="3417" spans="1:2" ht="12.9" x14ac:dyDescent="0.35">
      <c r="A3417" s="401">
        <v>43236</v>
      </c>
      <c r="B3417" s="403">
        <v>3.6872803616348299E+19</v>
      </c>
    </row>
    <row r="3418" spans="1:2" ht="12.9" x14ac:dyDescent="0.35">
      <c r="A3418" s="401">
        <v>43237</v>
      </c>
      <c r="B3418" s="403">
        <v>2.7191117750603198E+19</v>
      </c>
    </row>
    <row r="3419" spans="1:2" ht="12.9" x14ac:dyDescent="0.35">
      <c r="A3419" s="401">
        <v>43238</v>
      </c>
      <c r="B3419" s="403">
        <v>3.0487010811282399E+19</v>
      </c>
    </row>
    <row r="3420" spans="1:2" ht="12.9" x14ac:dyDescent="0.35">
      <c r="A3420" s="401">
        <v>43239</v>
      </c>
      <c r="B3420" s="403">
        <v>3.1722970709037101E+19</v>
      </c>
    </row>
    <row r="3421" spans="1:2" ht="12.9" x14ac:dyDescent="0.35">
      <c r="A3421" s="401">
        <v>43240</v>
      </c>
      <c r="B3421" s="403">
        <v>2.9663037546112598E+19</v>
      </c>
    </row>
    <row r="3422" spans="1:2" ht="12.9" x14ac:dyDescent="0.35">
      <c r="A3422" s="401">
        <v>43241</v>
      </c>
      <c r="B3422" s="403">
        <v>3.2340950657914499E+19</v>
      </c>
    </row>
    <row r="3423" spans="1:2" ht="12.9" x14ac:dyDescent="0.35">
      <c r="A3423" s="401">
        <v>43242</v>
      </c>
      <c r="B3423" s="403">
        <v>3.1104990760159801E+19</v>
      </c>
    </row>
    <row r="3424" spans="1:2" ht="12.9" x14ac:dyDescent="0.35">
      <c r="A3424" s="401">
        <v>43243</v>
      </c>
      <c r="B3424" s="403">
        <v>3.3370917239376699E+19</v>
      </c>
    </row>
    <row r="3425" spans="1:2" ht="12.9" x14ac:dyDescent="0.35">
      <c r="A3425" s="401">
        <v>43244</v>
      </c>
      <c r="B3425" s="403">
        <v>2.9457044229820199E+19</v>
      </c>
    </row>
    <row r="3426" spans="1:2" ht="12.9" x14ac:dyDescent="0.35">
      <c r="A3426" s="401">
        <v>43245</v>
      </c>
      <c r="B3426" s="403">
        <v>3.7681533930275701E+19</v>
      </c>
    </row>
    <row r="3427" spans="1:2" ht="12.9" x14ac:dyDescent="0.35">
      <c r="A3427" s="401">
        <v>43246</v>
      </c>
      <c r="B3427" s="403">
        <v>3.4684139185821901E+19</v>
      </c>
    </row>
    <row r="3428" spans="1:2" ht="12.9" x14ac:dyDescent="0.35">
      <c r="A3428" s="401">
        <v>43247</v>
      </c>
      <c r="B3428" s="403">
        <v>3.5112338435029598E+19</v>
      </c>
    </row>
    <row r="3429" spans="1:2" ht="12.9" x14ac:dyDescent="0.35">
      <c r="A3429" s="401">
        <v>43248</v>
      </c>
      <c r="B3429" s="403">
        <v>3.3399541438198899E+19</v>
      </c>
    </row>
    <row r="3430" spans="1:2" ht="12.9" x14ac:dyDescent="0.35">
      <c r="A3430" s="401">
        <v>43249</v>
      </c>
      <c r="B3430" s="403">
        <v>2.9759847819933602E+19</v>
      </c>
    </row>
    <row r="3431" spans="1:2" ht="12.9" x14ac:dyDescent="0.35">
      <c r="A3431" s="401">
        <v>43250</v>
      </c>
      <c r="B3431" s="403">
        <v>3.7253334681068003E+19</v>
      </c>
    </row>
    <row r="3432" spans="1:2" ht="12.9" x14ac:dyDescent="0.35">
      <c r="A3432" s="401">
        <v>43251</v>
      </c>
      <c r="B3432" s="403">
        <v>3.6396936182652699E+19</v>
      </c>
    </row>
    <row r="3433" spans="1:2" ht="12.9" x14ac:dyDescent="0.35">
      <c r="A3433" s="401">
        <v>43252</v>
      </c>
      <c r="B3433" s="403">
        <v>3.55405376842373E+19</v>
      </c>
    </row>
    <row r="3434" spans="1:2" ht="12.9" x14ac:dyDescent="0.35">
      <c r="A3434" s="401">
        <v>43253</v>
      </c>
      <c r="B3434" s="403">
        <v>3.2543142939783598E+19</v>
      </c>
    </row>
    <row r="3435" spans="1:2" ht="12.9" x14ac:dyDescent="0.35">
      <c r="A3435" s="401">
        <v>43254</v>
      </c>
      <c r="B3435" s="403">
        <v>3.4898238810425799E+19</v>
      </c>
    </row>
    <row r="3436" spans="1:2" ht="12.9" x14ac:dyDescent="0.35">
      <c r="A3436" s="401">
        <v>43255</v>
      </c>
      <c r="B3436" s="403">
        <v>3.9180231302502597E+19</v>
      </c>
    </row>
    <row r="3437" spans="1:2" ht="12.9" x14ac:dyDescent="0.35">
      <c r="A3437" s="401">
        <v>43256</v>
      </c>
      <c r="B3437" s="403">
        <v>3.7467434305671897E+19</v>
      </c>
    </row>
    <row r="3438" spans="1:2" ht="12.9" x14ac:dyDescent="0.35">
      <c r="A3438" s="401">
        <v>43257</v>
      </c>
      <c r="B3438" s="403">
        <v>3.6103754486898602E+19</v>
      </c>
    </row>
    <row r="3439" spans="1:2" ht="12.9" x14ac:dyDescent="0.35">
      <c r="A3439" s="401">
        <v>43258</v>
      </c>
      <c r="B3439" s="403">
        <v>3.5121339398819701E+19</v>
      </c>
    </row>
    <row r="3440" spans="1:2" ht="12.9" x14ac:dyDescent="0.35">
      <c r="A3440" s="401">
        <v>43259</v>
      </c>
      <c r="B3440" s="403">
        <v>3.56125469428591E+19</v>
      </c>
    </row>
    <row r="3441" spans="1:2" ht="12.9" x14ac:dyDescent="0.35">
      <c r="A3441" s="401">
        <v>43260</v>
      </c>
      <c r="B3441" s="403">
        <v>3.5121339398819701E+19</v>
      </c>
    </row>
    <row r="3442" spans="1:2" ht="12.9" x14ac:dyDescent="0.35">
      <c r="A3442" s="401">
        <v>43261</v>
      </c>
      <c r="B3442" s="403">
        <v>3.1191679046504198E+19</v>
      </c>
    </row>
    <row r="3443" spans="1:2" ht="12.9" x14ac:dyDescent="0.35">
      <c r="A3443" s="401">
        <v>43262</v>
      </c>
      <c r="B3443" s="403">
        <v>3.4384528082760499E+19</v>
      </c>
    </row>
    <row r="3444" spans="1:2" ht="12.9" x14ac:dyDescent="0.35">
      <c r="A3444" s="401">
        <v>43263</v>
      </c>
      <c r="B3444" s="403">
        <v>3.56125469428591E+19</v>
      </c>
    </row>
    <row r="3445" spans="1:2" ht="12.9" x14ac:dyDescent="0.35">
      <c r="A3445" s="401">
        <v>43264</v>
      </c>
      <c r="B3445" s="403">
        <v>3.5121339398819701E+19</v>
      </c>
    </row>
    <row r="3446" spans="1:2" ht="12.9" x14ac:dyDescent="0.35">
      <c r="A3446" s="401">
        <v>43265</v>
      </c>
      <c r="B3446" s="403">
        <v>3.7577377119016903E+19</v>
      </c>
    </row>
    <row r="3447" spans="1:2" ht="12.9" x14ac:dyDescent="0.35">
      <c r="A3447" s="401">
        <v>43266</v>
      </c>
      <c r="B3447" s="403">
        <v>3.7577377119016903E+19</v>
      </c>
    </row>
    <row r="3448" spans="1:2" ht="12.9" x14ac:dyDescent="0.35">
      <c r="A3448" s="401">
        <v>43267</v>
      </c>
      <c r="B3448" s="403">
        <v>4.07702261552732E+19</v>
      </c>
    </row>
    <row r="3449" spans="1:2" ht="12.9" x14ac:dyDescent="0.35">
      <c r="A3449" s="401">
        <v>43268</v>
      </c>
      <c r="B3449" s="403">
        <v>3.8559792207095702E+19</v>
      </c>
    </row>
    <row r="3450" spans="1:2" ht="12.9" x14ac:dyDescent="0.35">
      <c r="A3450" s="401">
        <v>43269</v>
      </c>
      <c r="B3450" s="403">
        <v>4.02790186112338E+19</v>
      </c>
    </row>
    <row r="3451" spans="1:2" ht="12.9" x14ac:dyDescent="0.35">
      <c r="A3451" s="401">
        <v>43270</v>
      </c>
      <c r="B3451" s="403">
        <v>3.9122596140543099E+19</v>
      </c>
    </row>
    <row r="3452" spans="1:2" ht="12.9" x14ac:dyDescent="0.35">
      <c r="A3452" s="401">
        <v>43271</v>
      </c>
      <c r="B3452" s="403">
        <v>3.9122596140543099E+19</v>
      </c>
    </row>
    <row r="3453" spans="1:2" ht="12.9" x14ac:dyDescent="0.35">
      <c r="A3453" s="401">
        <v>43272</v>
      </c>
      <c r="B3453" s="403">
        <v>4.2908653831563403E+19</v>
      </c>
    </row>
    <row r="3454" spans="1:2" ht="12.9" x14ac:dyDescent="0.35">
      <c r="A3454" s="401">
        <v>43273</v>
      </c>
      <c r="B3454" s="403">
        <v>3.8112980756270998E+19</v>
      </c>
    </row>
    <row r="3455" spans="1:2" ht="12.9" x14ac:dyDescent="0.35">
      <c r="A3455" s="401">
        <v>43274</v>
      </c>
      <c r="B3455" s="403">
        <v>4.0384615370883203E+19</v>
      </c>
    </row>
    <row r="3456" spans="1:2" ht="12.9" x14ac:dyDescent="0.35">
      <c r="A3456" s="401">
        <v>43275</v>
      </c>
      <c r="B3456" s="403">
        <v>4.3161057677631398E+19</v>
      </c>
    </row>
    <row r="3457" spans="1:2" ht="12.9" x14ac:dyDescent="0.35">
      <c r="A3457" s="401">
        <v>43276</v>
      </c>
      <c r="B3457" s="403">
        <v>3.9627403832679096E+19</v>
      </c>
    </row>
    <row r="3458" spans="1:2" ht="12.9" x14ac:dyDescent="0.35">
      <c r="A3458" s="401">
        <v>43277</v>
      </c>
      <c r="B3458" s="403">
        <v>3.6850961525930902E+19</v>
      </c>
    </row>
    <row r="3459" spans="1:2" ht="12.9" x14ac:dyDescent="0.35">
      <c r="A3459" s="401">
        <v>43278</v>
      </c>
      <c r="B3459" s="403">
        <v>3.0540865374230401E+19</v>
      </c>
    </row>
    <row r="3460" spans="1:2" ht="12.9" x14ac:dyDescent="0.35">
      <c r="A3460" s="401">
        <v>43279</v>
      </c>
      <c r="B3460" s="403">
        <v>3.9627403832679096E+19</v>
      </c>
    </row>
    <row r="3461" spans="1:2" ht="12.9" x14ac:dyDescent="0.35">
      <c r="A3461" s="401">
        <v>43280</v>
      </c>
      <c r="B3461" s="403">
        <v>3.8112980756270998E+19</v>
      </c>
    </row>
    <row r="3462" spans="1:2" ht="12.9" x14ac:dyDescent="0.35">
      <c r="A3462" s="401">
        <v>43281</v>
      </c>
      <c r="B3462" s="403">
        <v>3.5588942295590801E+19</v>
      </c>
    </row>
    <row r="3463" spans="1:2" ht="12.9" x14ac:dyDescent="0.35">
      <c r="A3463" s="401">
        <v>43282</v>
      </c>
      <c r="B3463" s="403">
        <v>3.7103365371998896E+19</v>
      </c>
    </row>
    <row r="3464" spans="1:2" ht="12.9" x14ac:dyDescent="0.35">
      <c r="A3464" s="401">
        <v>43283</v>
      </c>
      <c r="B3464" s="403">
        <v>3.5588942295590801E+19</v>
      </c>
    </row>
    <row r="3465" spans="1:2" ht="12.9" x14ac:dyDescent="0.35">
      <c r="A3465" s="401">
        <v>43284</v>
      </c>
      <c r="B3465" s="403">
        <v>3.0929068693117501E+19</v>
      </c>
    </row>
    <row r="3466" spans="1:2" ht="12.9" x14ac:dyDescent="0.35">
      <c r="A3466" s="401">
        <v>43285</v>
      </c>
      <c r="B3466" s="403">
        <v>3.5728406938601202E+19</v>
      </c>
    </row>
    <row r="3467" spans="1:2" ht="12.9" x14ac:dyDescent="0.35">
      <c r="A3467" s="401">
        <v>43286</v>
      </c>
      <c r="B3467" s="403">
        <v>3.65282966461819E+19</v>
      </c>
    </row>
    <row r="3468" spans="1:2" ht="12.9" x14ac:dyDescent="0.35">
      <c r="A3468" s="401">
        <v>43287</v>
      </c>
      <c r="B3468" s="403">
        <v>4.2660784404299997E+19</v>
      </c>
    </row>
    <row r="3469" spans="1:2" ht="12.9" x14ac:dyDescent="0.35">
      <c r="A3469" s="401">
        <v>43288</v>
      </c>
      <c r="B3469" s="403">
        <v>4.1594264794192503E+19</v>
      </c>
    </row>
    <row r="3470" spans="1:2" ht="12.9" x14ac:dyDescent="0.35">
      <c r="A3470" s="401">
        <v>43289</v>
      </c>
      <c r="B3470" s="403">
        <v>4.2127524599246299E+19</v>
      </c>
    </row>
    <row r="3471" spans="1:2" ht="12.9" x14ac:dyDescent="0.35">
      <c r="A3471" s="401">
        <v>43290</v>
      </c>
      <c r="B3471" s="403">
        <v>3.6261666743654998E+19</v>
      </c>
    </row>
    <row r="3472" spans="1:2" ht="12.9" x14ac:dyDescent="0.35">
      <c r="A3472" s="401">
        <v>43291</v>
      </c>
      <c r="B3472" s="403">
        <v>3.9727855476504404E+19</v>
      </c>
    </row>
    <row r="3473" spans="1:2" ht="12.9" x14ac:dyDescent="0.35">
      <c r="A3473" s="401">
        <v>43292</v>
      </c>
      <c r="B3473" s="403">
        <v>3.59950368411281E+19</v>
      </c>
    </row>
    <row r="3474" spans="1:2" ht="12.9" x14ac:dyDescent="0.35">
      <c r="A3474" s="401">
        <v>43293</v>
      </c>
      <c r="B3474" s="403">
        <v>3.7594816256289399E+19</v>
      </c>
    </row>
    <row r="3475" spans="1:2" ht="12.9" x14ac:dyDescent="0.35">
      <c r="A3475" s="401">
        <v>43294</v>
      </c>
      <c r="B3475" s="403">
        <v>3.8128076061343097E+19</v>
      </c>
    </row>
    <row r="3476" spans="1:2" ht="12.9" x14ac:dyDescent="0.35">
      <c r="A3476" s="401">
        <v>43295</v>
      </c>
      <c r="B3476" s="403">
        <v>3.5461777036074402E+19</v>
      </c>
    </row>
    <row r="3477" spans="1:2" ht="12.9" x14ac:dyDescent="0.35">
      <c r="A3477" s="401">
        <v>43296</v>
      </c>
      <c r="B3477" s="403">
        <v>3.5461777036074402E+19</v>
      </c>
    </row>
    <row r="3478" spans="1:2" ht="12.9" x14ac:dyDescent="0.35">
      <c r="A3478" s="401">
        <v>43297</v>
      </c>
      <c r="B3478" s="403">
        <v>3.1995588303225E+19</v>
      </c>
    </row>
    <row r="3479" spans="1:2" ht="12.9" x14ac:dyDescent="0.35">
      <c r="A3479" s="401">
        <v>43298</v>
      </c>
      <c r="B3479" s="403">
        <v>4.0931868491512201E+19</v>
      </c>
    </row>
    <row r="3480" spans="1:2" ht="12.9" x14ac:dyDescent="0.35">
      <c r="A3480" s="401">
        <v>43299</v>
      </c>
      <c r="B3480" s="403">
        <v>4.4793365519013396E+19</v>
      </c>
    </row>
    <row r="3481" spans="1:2" ht="12.9" x14ac:dyDescent="0.35">
      <c r="A3481" s="401">
        <v>43300</v>
      </c>
      <c r="B3481" s="403">
        <v>4.4021066113513202E+19</v>
      </c>
    </row>
    <row r="3482" spans="1:2" ht="12.9" x14ac:dyDescent="0.35">
      <c r="A3482" s="401">
        <v>43301</v>
      </c>
      <c r="B3482" s="403">
        <v>3.9644702815678497E+19</v>
      </c>
    </row>
    <row r="3483" spans="1:2" ht="12.9" x14ac:dyDescent="0.35">
      <c r="A3483" s="401">
        <v>43302</v>
      </c>
      <c r="B3483" s="403">
        <v>3.5268339517843898E+19</v>
      </c>
    </row>
    <row r="3484" spans="1:2" ht="12.9" x14ac:dyDescent="0.35">
      <c r="A3484" s="401">
        <v>43303</v>
      </c>
      <c r="B3484" s="403">
        <v>4.6852830600347304E+19</v>
      </c>
    </row>
    <row r="3485" spans="1:2" ht="12.9" x14ac:dyDescent="0.35">
      <c r="A3485" s="401">
        <v>43304</v>
      </c>
      <c r="B3485" s="403">
        <v>4.2733900437679399E+19</v>
      </c>
    </row>
    <row r="3486" spans="1:2" ht="12.9" x14ac:dyDescent="0.35">
      <c r="A3486" s="401">
        <v>43305</v>
      </c>
      <c r="B3486" s="403">
        <v>4.0931868491512201E+19</v>
      </c>
    </row>
    <row r="3487" spans="1:2" ht="12.9" x14ac:dyDescent="0.35">
      <c r="A3487" s="401">
        <v>43306</v>
      </c>
      <c r="B3487" s="403">
        <v>4.5565664924513599E+19</v>
      </c>
    </row>
    <row r="3488" spans="1:2" ht="12.9" x14ac:dyDescent="0.35">
      <c r="A3488" s="401">
        <v>43307</v>
      </c>
      <c r="B3488" s="403">
        <v>4.2476467302512697E+19</v>
      </c>
    </row>
    <row r="3489" spans="1:2" ht="12.9" x14ac:dyDescent="0.35">
      <c r="A3489" s="401">
        <v>43308</v>
      </c>
      <c r="B3489" s="403">
        <v>4.2991333572846199E+19</v>
      </c>
    </row>
    <row r="3490" spans="1:2" ht="12.9" x14ac:dyDescent="0.35">
      <c r="A3490" s="401">
        <v>43309</v>
      </c>
      <c r="B3490" s="403">
        <v>3.7327804599177798E+19</v>
      </c>
    </row>
    <row r="3491" spans="1:2" ht="12.9" x14ac:dyDescent="0.35">
      <c r="A3491" s="401">
        <v>43310</v>
      </c>
      <c r="B3491" s="403">
        <v>5.0277183100841804E+19</v>
      </c>
    </row>
    <row r="3492" spans="1:2" ht="12.9" x14ac:dyDescent="0.35">
      <c r="A3492" s="401">
        <v>43311</v>
      </c>
      <c r="B3492" s="403">
        <v>3.9630250208898802E+19</v>
      </c>
    </row>
    <row r="3493" spans="1:2" ht="12.9" x14ac:dyDescent="0.35">
      <c r="A3493" s="401">
        <v>43312</v>
      </c>
      <c r="B3493" s="403">
        <v>4.3474975975433798E+19</v>
      </c>
    </row>
    <row r="3494" spans="1:2" ht="12.9" x14ac:dyDescent="0.35">
      <c r="A3494" s="401">
        <v>43313</v>
      </c>
      <c r="B3494" s="403">
        <v>4.4362220383095702E+19</v>
      </c>
    </row>
    <row r="3495" spans="1:2" ht="12.9" x14ac:dyDescent="0.35">
      <c r="A3495" s="401">
        <v>43314</v>
      </c>
      <c r="B3495" s="403">
        <v>4.5249464790757597E+19</v>
      </c>
    </row>
    <row r="3496" spans="1:2" ht="12.9" x14ac:dyDescent="0.35">
      <c r="A3496" s="401">
        <v>43315</v>
      </c>
      <c r="B3496" s="403">
        <v>4.9094190557292503E+19</v>
      </c>
    </row>
    <row r="3497" spans="1:2" ht="12.9" x14ac:dyDescent="0.35">
      <c r="A3497" s="401">
        <v>43316</v>
      </c>
      <c r="B3497" s="403">
        <v>5.2051671916165603E+19</v>
      </c>
    </row>
    <row r="3498" spans="1:2" ht="12.9" x14ac:dyDescent="0.35">
      <c r="A3498" s="401">
        <v>43317</v>
      </c>
      <c r="B3498" s="403">
        <v>4.7319701741968703E+19</v>
      </c>
    </row>
    <row r="3499" spans="1:2" ht="12.9" x14ac:dyDescent="0.35">
      <c r="A3499" s="401">
        <v>43318</v>
      </c>
      <c r="B3499" s="403">
        <v>3.8743005801236898E+19</v>
      </c>
    </row>
    <row r="3500" spans="1:2" ht="12.9" x14ac:dyDescent="0.35">
      <c r="A3500" s="401">
        <v>43319</v>
      </c>
      <c r="B3500" s="403">
        <v>4.4657968518983E+19</v>
      </c>
    </row>
    <row r="3501" spans="1:2" ht="12.9" x14ac:dyDescent="0.35">
      <c r="A3501" s="401">
        <v>43320</v>
      </c>
      <c r="B3501" s="403">
        <v>4.64324573343068E+19</v>
      </c>
    </row>
    <row r="3502" spans="1:2" ht="12.9" x14ac:dyDescent="0.35">
      <c r="A3502" s="401">
        <v>43321</v>
      </c>
      <c r="B3502" s="403">
        <v>4.4066472247208403E+19</v>
      </c>
    </row>
    <row r="3503" spans="1:2" ht="12.9" x14ac:dyDescent="0.35">
      <c r="A3503" s="401">
        <v>43322</v>
      </c>
      <c r="B3503" s="403">
        <v>5.2051671916165603E+19</v>
      </c>
    </row>
    <row r="3504" spans="1:2" ht="12.9" x14ac:dyDescent="0.35">
      <c r="A3504" s="401">
        <v>43323</v>
      </c>
      <c r="B3504" s="403">
        <v>5.3994493054849098E+19</v>
      </c>
    </row>
    <row r="3505" spans="1:2" ht="12.9" x14ac:dyDescent="0.35">
      <c r="A3505" s="401">
        <v>43324</v>
      </c>
      <c r="B3505" s="403">
        <v>4.9230273079421297E+19</v>
      </c>
    </row>
    <row r="3506" spans="1:2" ht="12.9" x14ac:dyDescent="0.35">
      <c r="A3506" s="401">
        <v>43325</v>
      </c>
      <c r="B3506" s="403">
        <v>4.7642199754278699E+19</v>
      </c>
    </row>
    <row r="3507" spans="1:2" ht="12.9" x14ac:dyDescent="0.35">
      <c r="A3507" s="401">
        <v>43326</v>
      </c>
      <c r="B3507" s="403">
        <v>4.3195594443879301E+19</v>
      </c>
    </row>
    <row r="3508" spans="1:2" ht="12.9" x14ac:dyDescent="0.35">
      <c r="A3508" s="401">
        <v>43327</v>
      </c>
      <c r="B3508" s="403">
        <v>5.1135961069592404E+19</v>
      </c>
    </row>
    <row r="3509" spans="1:2" ht="12.9" x14ac:dyDescent="0.35">
      <c r="A3509" s="401">
        <v>43328</v>
      </c>
      <c r="B3509" s="403">
        <v>5.0183117074506899E+19</v>
      </c>
    </row>
    <row r="3510" spans="1:2" ht="12.9" x14ac:dyDescent="0.35">
      <c r="A3510" s="401">
        <v>43329</v>
      </c>
      <c r="B3510" s="403">
        <v>4.8277429084335702E+19</v>
      </c>
    </row>
    <row r="3511" spans="1:2" ht="12.9" x14ac:dyDescent="0.35">
      <c r="A3511" s="401">
        <v>43330</v>
      </c>
      <c r="B3511" s="403">
        <v>5.0818346404563902E+19</v>
      </c>
    </row>
    <row r="3512" spans="1:2" ht="12.9" x14ac:dyDescent="0.35">
      <c r="A3512" s="401">
        <v>43331</v>
      </c>
      <c r="B3512" s="403">
        <v>4.6054126429136003E+19</v>
      </c>
    </row>
    <row r="3513" spans="1:2" ht="12.9" x14ac:dyDescent="0.35">
      <c r="A3513" s="401">
        <v>43332</v>
      </c>
      <c r="B3513" s="403">
        <v>4.7642199754278699E+19</v>
      </c>
    </row>
    <row r="3514" spans="1:2" ht="12.9" x14ac:dyDescent="0.35">
      <c r="A3514" s="401">
        <v>43333</v>
      </c>
      <c r="B3514" s="403">
        <v>4.7006970424221598E+19</v>
      </c>
    </row>
    <row r="3515" spans="1:2" ht="12.9" x14ac:dyDescent="0.35">
      <c r="A3515" s="401">
        <v>43334</v>
      </c>
      <c r="B3515" s="403">
        <v>5.0818346404563902E+19</v>
      </c>
    </row>
    <row r="3516" spans="1:2" ht="12.9" x14ac:dyDescent="0.35">
      <c r="A3516" s="401">
        <v>43335</v>
      </c>
      <c r="B3516" s="403">
        <v>4.7324585089250099E+19</v>
      </c>
    </row>
    <row r="3517" spans="1:2" ht="12.9" x14ac:dyDescent="0.35">
      <c r="A3517" s="401">
        <v>43336</v>
      </c>
      <c r="B3517" s="403">
        <v>4.6371741094164603E+19</v>
      </c>
    </row>
    <row r="3518" spans="1:2" ht="12.9" x14ac:dyDescent="0.35">
      <c r="A3518" s="401">
        <v>43337</v>
      </c>
      <c r="B3518" s="403">
        <v>4.5145645914494501E+19</v>
      </c>
    </row>
    <row r="3519" spans="1:2" ht="12.9" x14ac:dyDescent="0.35">
      <c r="A3519" s="401">
        <v>43338</v>
      </c>
      <c r="B3519" s="403">
        <v>5.7853309208944804E+19</v>
      </c>
    </row>
    <row r="3520" spans="1:2" ht="12.9" x14ac:dyDescent="0.35">
      <c r="A3520" s="401">
        <v>43339</v>
      </c>
      <c r="B3520" s="403">
        <v>6.1866255512455504E+19</v>
      </c>
    </row>
    <row r="3521" spans="1:2" ht="12.9" x14ac:dyDescent="0.35">
      <c r="A3521" s="401">
        <v>43340</v>
      </c>
      <c r="B3521" s="403">
        <v>5.1165065369760498E+19</v>
      </c>
    </row>
    <row r="3522" spans="1:2" ht="12.9" x14ac:dyDescent="0.35">
      <c r="A3522" s="401">
        <v>43341</v>
      </c>
      <c r="B3522" s="403">
        <v>4.6483294682331398E+19</v>
      </c>
    </row>
    <row r="3523" spans="1:2" ht="12.9" x14ac:dyDescent="0.35">
      <c r="A3523" s="401">
        <v>43342</v>
      </c>
      <c r="B3523" s="403">
        <v>5.1499477561719702E+19</v>
      </c>
    </row>
    <row r="3524" spans="1:2" ht="12.9" x14ac:dyDescent="0.35">
      <c r="A3524" s="401">
        <v>43343</v>
      </c>
      <c r="B3524" s="403">
        <v>5.1833889753678897E+19</v>
      </c>
    </row>
    <row r="3525" spans="1:2" ht="12.9" x14ac:dyDescent="0.35">
      <c r="A3525" s="401">
        <v>43344</v>
      </c>
      <c r="B3525" s="403">
        <v>5.0496240985842E+19</v>
      </c>
    </row>
    <row r="3526" spans="1:2" ht="12.9" x14ac:dyDescent="0.35">
      <c r="A3526" s="401">
        <v>43345</v>
      </c>
      <c r="B3526" s="403">
        <v>4.8155355642127499E+19</v>
      </c>
    </row>
    <row r="3527" spans="1:2" ht="12.9" x14ac:dyDescent="0.35">
      <c r="A3527" s="401">
        <v>43346</v>
      </c>
      <c r="B3527" s="403">
        <v>4.8155355642127499E+19</v>
      </c>
    </row>
    <row r="3528" spans="1:2" ht="12.9" x14ac:dyDescent="0.35">
      <c r="A3528" s="401">
        <v>43347</v>
      </c>
      <c r="B3528" s="403">
        <v>4.2135936186861601E+19</v>
      </c>
    </row>
    <row r="3529" spans="1:2" ht="12.9" x14ac:dyDescent="0.35">
      <c r="A3529" s="401">
        <v>43348</v>
      </c>
      <c r="B3529" s="403">
        <v>4.4142409338616898E+19</v>
      </c>
    </row>
    <row r="3530" spans="1:2" ht="12.9" x14ac:dyDescent="0.35">
      <c r="A3530" s="401">
        <v>43349</v>
      </c>
      <c r="B3530" s="403">
        <v>5.0161828793882796E+19</v>
      </c>
    </row>
    <row r="3531" spans="1:2" ht="12.9" x14ac:dyDescent="0.35">
      <c r="A3531" s="401">
        <v>43350</v>
      </c>
      <c r="B3531" s="403">
        <v>5.30367955276177E+19</v>
      </c>
    </row>
    <row r="3532" spans="1:2" ht="12.9" x14ac:dyDescent="0.35">
      <c r="A3532" s="401">
        <v>43351</v>
      </c>
      <c r="B3532" s="403">
        <v>5.2338942954885898E+19</v>
      </c>
    </row>
    <row r="3533" spans="1:2" ht="12.9" x14ac:dyDescent="0.35">
      <c r="A3533" s="401">
        <v>43352</v>
      </c>
      <c r="B3533" s="403">
        <v>5.6874984677642699E+19</v>
      </c>
    </row>
    <row r="3534" spans="1:2" ht="12.9" x14ac:dyDescent="0.35">
      <c r="A3534" s="401">
        <v>43353</v>
      </c>
      <c r="B3534" s="403">
        <v>4.7105048659397296E+19</v>
      </c>
    </row>
    <row r="3535" spans="1:2" ht="12.9" x14ac:dyDescent="0.35">
      <c r="A3535" s="401">
        <v>43354</v>
      </c>
      <c r="B3535" s="403">
        <v>4.9198606377592701E+19</v>
      </c>
    </row>
    <row r="3536" spans="1:2" ht="12.9" x14ac:dyDescent="0.35">
      <c r="A3536" s="401">
        <v>43355</v>
      </c>
      <c r="B3536" s="403">
        <v>5.8619616109472203E+19</v>
      </c>
    </row>
    <row r="3537" spans="1:2" ht="12.9" x14ac:dyDescent="0.35">
      <c r="A3537" s="401">
        <v>43356</v>
      </c>
      <c r="B3537" s="403">
        <v>5.1641090382154097E+19</v>
      </c>
    </row>
    <row r="3538" spans="1:2" ht="12.9" x14ac:dyDescent="0.35">
      <c r="A3538" s="401">
        <v>43357</v>
      </c>
      <c r="B3538" s="403">
        <v>4.6058269800299602E+19</v>
      </c>
    </row>
    <row r="3539" spans="1:2" ht="12.9" x14ac:dyDescent="0.35">
      <c r="A3539" s="401">
        <v>43358</v>
      </c>
      <c r="B3539" s="403">
        <v>4.88496800912268E+19</v>
      </c>
    </row>
    <row r="3540" spans="1:2" ht="12.9" x14ac:dyDescent="0.35">
      <c r="A3540" s="401">
        <v>43359</v>
      </c>
      <c r="B3540" s="403">
        <v>4.8500753804860899E+19</v>
      </c>
    </row>
    <row r="3541" spans="1:2" ht="12.9" x14ac:dyDescent="0.35">
      <c r="A3541" s="401">
        <v>43360</v>
      </c>
      <c r="B3541" s="403">
        <v>4.7105048659397296E+19</v>
      </c>
    </row>
    <row r="3542" spans="1:2" ht="12.9" x14ac:dyDescent="0.35">
      <c r="A3542" s="401">
        <v>43361</v>
      </c>
      <c r="B3542" s="403">
        <v>4.9547532663958602E+19</v>
      </c>
    </row>
    <row r="3543" spans="1:2" ht="12.9" x14ac:dyDescent="0.35">
      <c r="A3543" s="401">
        <v>43362</v>
      </c>
      <c r="B3543" s="403">
        <v>5.4432500673081303E+19</v>
      </c>
    </row>
    <row r="3544" spans="1:2" ht="12.9" x14ac:dyDescent="0.35">
      <c r="A3544" s="401">
        <v>43363</v>
      </c>
      <c r="B3544" s="403">
        <v>5.3734648100349501E+19</v>
      </c>
    </row>
    <row r="3545" spans="1:2" ht="12.9" x14ac:dyDescent="0.35">
      <c r="A3545" s="401">
        <v>43364</v>
      </c>
      <c r="B3545" s="403">
        <v>5.1200543877861499E+19</v>
      </c>
    </row>
    <row r="3546" spans="1:2" ht="12.9" x14ac:dyDescent="0.35">
      <c r="A3546" s="401">
        <v>43365</v>
      </c>
      <c r="B3546" s="403">
        <v>5.5111696535198097E+19</v>
      </c>
    </row>
    <row r="3547" spans="1:2" ht="12.9" x14ac:dyDescent="0.35">
      <c r="A3547" s="401">
        <v>43366</v>
      </c>
      <c r="B3547" s="403">
        <v>5.3333899872772399E+19</v>
      </c>
    </row>
    <row r="3548" spans="1:2" ht="12.9" x14ac:dyDescent="0.35">
      <c r="A3548" s="401">
        <v>43367</v>
      </c>
      <c r="B3548" s="403">
        <v>5.2622781207802102E+19</v>
      </c>
    </row>
    <row r="3549" spans="1:2" ht="12.9" x14ac:dyDescent="0.35">
      <c r="A3549" s="401">
        <v>43368</v>
      </c>
      <c r="B3549" s="403">
        <v>6.0089527189990203E+19</v>
      </c>
    </row>
    <row r="3550" spans="1:2" ht="12.9" x14ac:dyDescent="0.35">
      <c r="A3550" s="401">
        <v>43369</v>
      </c>
      <c r="B3550" s="403">
        <v>4.9422747215435702E+19</v>
      </c>
    </row>
    <row r="3551" spans="1:2" ht="12.9" x14ac:dyDescent="0.35">
      <c r="A3551" s="401">
        <v>43370</v>
      </c>
      <c r="B3551" s="403">
        <v>5.0844984545376297E+19</v>
      </c>
    </row>
    <row r="3552" spans="1:2" ht="12.9" x14ac:dyDescent="0.35">
      <c r="A3552" s="401">
        <v>43371</v>
      </c>
      <c r="B3552" s="403">
        <v>5.4756137202713002E+19</v>
      </c>
    </row>
    <row r="3553" spans="1:2" ht="12.9" x14ac:dyDescent="0.35">
      <c r="A3553" s="401">
        <v>43372</v>
      </c>
      <c r="B3553" s="403">
        <v>5.4045018537742696E+19</v>
      </c>
    </row>
    <row r="3554" spans="1:2" ht="12.9" x14ac:dyDescent="0.35">
      <c r="A3554" s="401">
        <v>43373</v>
      </c>
      <c r="B3554" s="403">
        <v>5.7956171195079303E+19</v>
      </c>
    </row>
    <row r="3555" spans="1:2" ht="12.9" x14ac:dyDescent="0.35">
      <c r="A3555" s="401">
        <v>43374</v>
      </c>
      <c r="B3555" s="403">
        <v>5.6178374532653597E+19</v>
      </c>
    </row>
    <row r="3556" spans="1:2" ht="12.9" x14ac:dyDescent="0.35">
      <c r="A3556" s="401">
        <v>43375</v>
      </c>
      <c r="B3556" s="403">
        <v>4.8711628550465397E+19</v>
      </c>
    </row>
    <row r="3557" spans="1:2" ht="12.9" x14ac:dyDescent="0.35">
      <c r="A3557" s="401">
        <v>43376</v>
      </c>
      <c r="B3557" s="403">
        <v>5.1556103210346602E+19</v>
      </c>
    </row>
    <row r="3558" spans="1:2" ht="12.9" x14ac:dyDescent="0.35">
      <c r="A3558" s="401">
        <v>43377</v>
      </c>
      <c r="B3558" s="403">
        <v>5.5588275237840101E+19</v>
      </c>
    </row>
    <row r="3559" spans="1:2" ht="12.9" x14ac:dyDescent="0.35">
      <c r="A3559" s="401">
        <v>43378</v>
      </c>
      <c r="B3559" s="403">
        <v>4.8176505206128099E+19</v>
      </c>
    </row>
    <row r="3560" spans="1:2" ht="12.9" x14ac:dyDescent="0.35">
      <c r="A3560" s="401">
        <v>43379</v>
      </c>
      <c r="B3560" s="403">
        <v>4.6323562698200097E+19</v>
      </c>
    </row>
    <row r="3561" spans="1:2" ht="12.9" x14ac:dyDescent="0.35">
      <c r="A3561" s="401">
        <v>43380</v>
      </c>
      <c r="B3561" s="403">
        <v>5.2623567225155297E+19</v>
      </c>
    </row>
    <row r="3562" spans="1:2" ht="12.9" x14ac:dyDescent="0.35">
      <c r="A3562" s="401">
        <v>43381</v>
      </c>
      <c r="B3562" s="403">
        <v>5.0029447714056102E+19</v>
      </c>
    </row>
    <row r="3563" spans="1:2" ht="12.9" x14ac:dyDescent="0.35">
      <c r="A3563" s="401">
        <v>43382</v>
      </c>
      <c r="B3563" s="403">
        <v>4.8176505206128099E+19</v>
      </c>
    </row>
    <row r="3564" spans="1:2" ht="12.9" x14ac:dyDescent="0.35">
      <c r="A3564" s="401">
        <v>43383</v>
      </c>
      <c r="B3564" s="403">
        <v>5.3364744228326498E+19</v>
      </c>
    </row>
    <row r="3565" spans="1:2" ht="12.9" x14ac:dyDescent="0.35">
      <c r="A3565" s="401">
        <v>43384</v>
      </c>
      <c r="B3565" s="403">
        <v>5.8923571752110596E+19</v>
      </c>
    </row>
    <row r="3566" spans="1:2" ht="12.9" x14ac:dyDescent="0.35">
      <c r="A3566" s="401">
        <v>43385</v>
      </c>
      <c r="B3566" s="403">
        <v>4.89176822092993E+19</v>
      </c>
    </row>
    <row r="3567" spans="1:2" ht="12.9" x14ac:dyDescent="0.35">
      <c r="A3567" s="401">
        <v>43386</v>
      </c>
      <c r="B3567" s="403">
        <v>5.2252978723569697E+19</v>
      </c>
    </row>
    <row r="3568" spans="1:2" ht="12.9" x14ac:dyDescent="0.35">
      <c r="A3568" s="401">
        <v>43387</v>
      </c>
      <c r="B3568" s="403">
        <v>4.2247089180758499E+19</v>
      </c>
    </row>
    <row r="3569" spans="1:2" ht="12.9" x14ac:dyDescent="0.35">
      <c r="A3569" s="401">
        <v>43388</v>
      </c>
      <c r="B3569" s="403">
        <v>6.0035337256867398E+19</v>
      </c>
    </row>
    <row r="3570" spans="1:2" ht="12.9" x14ac:dyDescent="0.35">
      <c r="A3570" s="401">
        <v>43389</v>
      </c>
      <c r="B3570" s="403">
        <v>5.0029447714056102E+19</v>
      </c>
    </row>
    <row r="3571" spans="1:2" ht="12.9" x14ac:dyDescent="0.35">
      <c r="A3571" s="401">
        <v>43390</v>
      </c>
      <c r="B3571" s="403">
        <v>5.1141213218812903E+19</v>
      </c>
    </row>
    <row r="3572" spans="1:2" ht="12.9" x14ac:dyDescent="0.35">
      <c r="A3572" s="401">
        <v>43391</v>
      </c>
      <c r="B3572" s="403">
        <v>5.1141213218812903E+19</v>
      </c>
    </row>
    <row r="3573" spans="1:2" ht="12.9" x14ac:dyDescent="0.35">
      <c r="A3573" s="401">
        <v>43392</v>
      </c>
      <c r="B3573" s="403">
        <v>5.0702736583466902E+19</v>
      </c>
    </row>
    <row r="3574" spans="1:2" ht="12.9" x14ac:dyDescent="0.35">
      <c r="A3574" s="401">
        <v>43393</v>
      </c>
      <c r="B3574" s="403">
        <v>5.1059798108702597E+19</v>
      </c>
    </row>
    <row r="3575" spans="1:2" ht="12.9" x14ac:dyDescent="0.35">
      <c r="A3575" s="401">
        <v>43394</v>
      </c>
      <c r="B3575" s="403">
        <v>4.9274490482524201E+19</v>
      </c>
    </row>
    <row r="3576" spans="1:2" ht="12.9" x14ac:dyDescent="0.35">
      <c r="A3576" s="401">
        <v>43395</v>
      </c>
      <c r="B3576" s="403">
        <v>5.5344536411530797E+19</v>
      </c>
    </row>
    <row r="3577" spans="1:2" ht="12.9" x14ac:dyDescent="0.35">
      <c r="A3577" s="401">
        <v>43396</v>
      </c>
      <c r="B3577" s="403">
        <v>5.4987474886295101E+19</v>
      </c>
    </row>
    <row r="3578" spans="1:2" ht="12.9" x14ac:dyDescent="0.35">
      <c r="A3578" s="401">
        <v>43397</v>
      </c>
      <c r="B3578" s="403">
        <v>4.0347952351632097E+19</v>
      </c>
    </row>
    <row r="3579" spans="1:2" ht="12.9" x14ac:dyDescent="0.35">
      <c r="A3579" s="401">
        <v>43398</v>
      </c>
      <c r="B3579" s="403">
        <v>4.8917428957288497E+19</v>
      </c>
    </row>
    <row r="3580" spans="1:2" ht="12.9" x14ac:dyDescent="0.35">
      <c r="A3580" s="401">
        <v>43399</v>
      </c>
      <c r="B3580" s="403">
        <v>5.1059798108702597E+19</v>
      </c>
    </row>
    <row r="3581" spans="1:2" ht="12.9" x14ac:dyDescent="0.35">
      <c r="A3581" s="401">
        <v>43400</v>
      </c>
      <c r="B3581" s="403">
        <v>4.8560367432052802E+19</v>
      </c>
    </row>
    <row r="3582" spans="1:2" ht="12.9" x14ac:dyDescent="0.35">
      <c r="A3582" s="401">
        <v>43401</v>
      </c>
      <c r="B3582" s="403">
        <v>4.99886135329956E+19</v>
      </c>
    </row>
    <row r="3583" spans="1:2" ht="12.9" x14ac:dyDescent="0.35">
      <c r="A3583" s="401">
        <v>43402</v>
      </c>
      <c r="B3583" s="403">
        <v>5.2130982684409602E+19</v>
      </c>
    </row>
    <row r="3584" spans="1:2" ht="12.9" x14ac:dyDescent="0.35">
      <c r="A3584" s="401">
        <v>43403</v>
      </c>
      <c r="B3584" s="403">
        <v>5.4987474886295101E+19</v>
      </c>
    </row>
    <row r="3585" spans="1:2" ht="12.9" x14ac:dyDescent="0.35">
      <c r="A3585" s="401">
        <v>43404</v>
      </c>
      <c r="B3585" s="403">
        <v>5.8201028613416296E+19</v>
      </c>
    </row>
    <row r="3586" spans="1:2" ht="12.9" x14ac:dyDescent="0.35">
      <c r="A3586" s="401">
        <v>43405</v>
      </c>
      <c r="B3586" s="403">
        <v>5.4987474886295101E+19</v>
      </c>
    </row>
    <row r="3587" spans="1:2" ht="12.9" x14ac:dyDescent="0.35">
      <c r="A3587" s="401">
        <v>43406</v>
      </c>
      <c r="B3587" s="403">
        <v>5.1070835076711399E+19</v>
      </c>
    </row>
    <row r="3588" spans="1:2" ht="12.9" x14ac:dyDescent="0.35">
      <c r="A3588" s="401">
        <v>43407</v>
      </c>
      <c r="B3588" s="403">
        <v>5.7499331799654097E+19</v>
      </c>
    </row>
    <row r="3589" spans="1:2" ht="12.9" x14ac:dyDescent="0.35">
      <c r="A3589" s="401">
        <v>43408</v>
      </c>
      <c r="B3589" s="403">
        <v>4.3928060940108399E+19</v>
      </c>
    </row>
    <row r="3590" spans="1:2" ht="12.9" x14ac:dyDescent="0.35">
      <c r="A3590" s="401">
        <v>43409</v>
      </c>
      <c r="B3590" s="403">
        <v>5.1427973783541498E+19</v>
      </c>
    </row>
    <row r="3591" spans="1:2" ht="12.9" x14ac:dyDescent="0.35">
      <c r="A3591" s="401">
        <v>43410</v>
      </c>
      <c r="B3591" s="403">
        <v>4.5713754474259104E+19</v>
      </c>
    </row>
    <row r="3592" spans="1:2" ht="12.9" x14ac:dyDescent="0.35">
      <c r="A3592" s="401">
        <v>43411</v>
      </c>
      <c r="B3592" s="403">
        <v>4.6428031887919399E+19</v>
      </c>
    </row>
    <row r="3593" spans="1:2" ht="12.9" x14ac:dyDescent="0.35">
      <c r="A3593" s="401">
        <v>43412</v>
      </c>
      <c r="B3593" s="403">
        <v>4.3213783526448103E+19</v>
      </c>
    </row>
    <row r="3594" spans="1:2" ht="12.9" x14ac:dyDescent="0.35">
      <c r="A3594" s="401">
        <v>43413</v>
      </c>
      <c r="B3594" s="403">
        <v>4.5356615767428997E+19</v>
      </c>
    </row>
    <row r="3595" spans="1:2" ht="12.9" x14ac:dyDescent="0.35">
      <c r="A3595" s="401">
        <v>43414</v>
      </c>
      <c r="B3595" s="403">
        <v>4.6785170594749604E+19</v>
      </c>
    </row>
    <row r="3596" spans="1:2" ht="12.9" x14ac:dyDescent="0.35">
      <c r="A3596" s="401">
        <v>43415</v>
      </c>
      <c r="B3596" s="403">
        <v>5.2142251197201801E+19</v>
      </c>
    </row>
    <row r="3597" spans="1:2" ht="12.9" x14ac:dyDescent="0.35">
      <c r="A3597" s="401">
        <v>43416</v>
      </c>
      <c r="B3597" s="403">
        <v>4.9999418956220899E+19</v>
      </c>
    </row>
    <row r="3598" spans="1:2" ht="12.9" x14ac:dyDescent="0.35">
      <c r="A3598" s="401">
        <v>43417</v>
      </c>
      <c r="B3598" s="403">
        <v>4.2856644819617898E+19</v>
      </c>
    </row>
    <row r="3599" spans="1:2" ht="12.9" x14ac:dyDescent="0.35">
      <c r="A3599" s="401">
        <v>43418</v>
      </c>
      <c r="B3599" s="403">
        <v>4.8213725422070202E+19</v>
      </c>
    </row>
    <row r="3600" spans="1:2" ht="12.9" x14ac:dyDescent="0.35">
      <c r="A3600" s="401">
        <v>43419</v>
      </c>
      <c r="B3600" s="403">
        <v>4.5356615767428997E+19</v>
      </c>
    </row>
    <row r="3601" spans="1:2" ht="12.9" x14ac:dyDescent="0.35">
      <c r="A3601" s="401">
        <v>43420</v>
      </c>
      <c r="B3601" s="403">
        <v>4.49994770605988E+19</v>
      </c>
    </row>
    <row r="3602" spans="1:2" ht="12.9" x14ac:dyDescent="0.35">
      <c r="A3602" s="401">
        <v>43421</v>
      </c>
      <c r="B3602" s="403">
        <v>4.7956936497607999E+19</v>
      </c>
    </row>
    <row r="3603" spans="1:2" ht="12.9" x14ac:dyDescent="0.35">
      <c r="A3603" s="401">
        <v>43422</v>
      </c>
      <c r="B3603" s="403">
        <v>4.0680711649695097E+19</v>
      </c>
    </row>
    <row r="3604" spans="1:2" ht="12.9" x14ac:dyDescent="0.35">
      <c r="A3604" s="401">
        <v>43423</v>
      </c>
      <c r="B3604" s="403">
        <v>4.16729241289559E+19</v>
      </c>
    </row>
    <row r="3605" spans="1:2" ht="12.9" x14ac:dyDescent="0.35">
      <c r="A3605" s="401">
        <v>43424</v>
      </c>
      <c r="B3605" s="403">
        <v>4.3657349087477596E+19</v>
      </c>
    </row>
    <row r="3606" spans="1:2" ht="12.9" x14ac:dyDescent="0.35">
      <c r="A3606" s="401">
        <v>43425</v>
      </c>
      <c r="B3606" s="403">
        <v>3.4727436774129902E+19</v>
      </c>
    </row>
    <row r="3607" spans="1:2" ht="12.9" x14ac:dyDescent="0.35">
      <c r="A3607" s="401">
        <v>43426</v>
      </c>
      <c r="B3607" s="403">
        <v>4.0349974156608102E+19</v>
      </c>
    </row>
    <row r="3608" spans="1:2" ht="12.9" x14ac:dyDescent="0.35">
      <c r="A3608" s="401">
        <v>43427</v>
      </c>
      <c r="B3608" s="403">
        <v>4.1342186635869004E+19</v>
      </c>
    </row>
    <row r="3609" spans="1:2" ht="12.9" x14ac:dyDescent="0.35">
      <c r="A3609" s="401">
        <v>43428</v>
      </c>
      <c r="B3609" s="403">
        <v>4.7295461511434101E+19</v>
      </c>
    </row>
    <row r="3610" spans="1:2" ht="12.9" x14ac:dyDescent="0.35">
      <c r="A3610" s="401">
        <v>43429</v>
      </c>
      <c r="B3610" s="403">
        <v>4.2003661622042903E+19</v>
      </c>
    </row>
    <row r="3611" spans="1:2" ht="12.9" x14ac:dyDescent="0.35">
      <c r="A3611" s="401">
        <v>43430</v>
      </c>
      <c r="B3611" s="403">
        <v>3.6711861732651602E+19</v>
      </c>
    </row>
    <row r="3612" spans="1:2" ht="12.9" x14ac:dyDescent="0.35">
      <c r="A3612" s="401">
        <v>43431</v>
      </c>
      <c r="B3612" s="403">
        <v>4.33266115943907E+19</v>
      </c>
    </row>
    <row r="3613" spans="1:2" ht="12.9" x14ac:dyDescent="0.35">
      <c r="A3613" s="401">
        <v>43432</v>
      </c>
      <c r="B3613" s="403">
        <v>3.9027024184260297E+19</v>
      </c>
    </row>
    <row r="3614" spans="1:2" ht="12.9" x14ac:dyDescent="0.35">
      <c r="A3614" s="401">
        <v>43433</v>
      </c>
      <c r="B3614" s="403">
        <v>3.4727436774129902E+19</v>
      </c>
    </row>
    <row r="3615" spans="1:2" ht="12.9" x14ac:dyDescent="0.35">
      <c r="A3615" s="401">
        <v>43434</v>
      </c>
      <c r="B3615" s="403">
        <v>3.34044868017821E+19</v>
      </c>
    </row>
    <row r="3616" spans="1:2" ht="12.9" x14ac:dyDescent="0.35">
      <c r="A3616" s="401">
        <v>43435</v>
      </c>
      <c r="B3616" s="403">
        <v>4.1011449142782001E+19</v>
      </c>
    </row>
    <row r="3617" spans="1:2" ht="12.9" x14ac:dyDescent="0.35">
      <c r="A3617" s="401">
        <v>43436</v>
      </c>
      <c r="B3617" s="403">
        <v>3.7704074211912499E+19</v>
      </c>
    </row>
    <row r="3618" spans="1:2" ht="12.9" x14ac:dyDescent="0.35">
      <c r="A3618" s="401">
        <v>43437</v>
      </c>
      <c r="B3618" s="403">
        <v>3.1998005400322998E+19</v>
      </c>
    </row>
    <row r="3619" spans="1:2" ht="12.9" x14ac:dyDescent="0.35">
      <c r="A3619" s="401">
        <v>43438</v>
      </c>
      <c r="B3619" s="403">
        <v>3.8734427589864604E+19</v>
      </c>
    </row>
    <row r="3620" spans="1:2" ht="12.9" x14ac:dyDescent="0.35">
      <c r="A3620" s="401">
        <v>43439</v>
      </c>
      <c r="B3620" s="403">
        <v>3.6488953526684099E+19</v>
      </c>
    </row>
    <row r="3621" spans="1:2" ht="12.9" x14ac:dyDescent="0.35">
      <c r="A3621" s="401">
        <v>43440</v>
      </c>
      <c r="B3621" s="403">
        <v>3.7892374816171901E+19</v>
      </c>
    </row>
    <row r="3622" spans="1:2" ht="12.9" x14ac:dyDescent="0.35">
      <c r="A3622" s="401">
        <v>43441</v>
      </c>
      <c r="B3622" s="403">
        <v>3.1998005400322998E+19</v>
      </c>
    </row>
    <row r="3623" spans="1:2" ht="12.9" x14ac:dyDescent="0.35">
      <c r="A3623" s="401">
        <v>43442</v>
      </c>
      <c r="B3623" s="403">
        <v>3.56469007529914E+19</v>
      </c>
    </row>
    <row r="3624" spans="1:2" ht="12.9" x14ac:dyDescent="0.35">
      <c r="A3624" s="401">
        <v>43443</v>
      </c>
      <c r="B3624" s="403">
        <v>3.5927585010888901E+19</v>
      </c>
    </row>
    <row r="3625" spans="1:2" ht="12.9" x14ac:dyDescent="0.35">
      <c r="A3625" s="401">
        <v>43444</v>
      </c>
      <c r="B3625" s="403">
        <v>3.4804847979298701E+19</v>
      </c>
    </row>
    <row r="3626" spans="1:2" ht="12.9" x14ac:dyDescent="0.35">
      <c r="A3626" s="401">
        <v>43445</v>
      </c>
      <c r="B3626" s="403">
        <v>3.5085532237196202E+19</v>
      </c>
    </row>
    <row r="3627" spans="1:2" ht="12.9" x14ac:dyDescent="0.35">
      <c r="A3627" s="401">
        <v>43446</v>
      </c>
      <c r="B3627" s="403">
        <v>3.36821109477084E+19</v>
      </c>
    </row>
    <row r="3628" spans="1:2" ht="12.9" x14ac:dyDescent="0.35">
      <c r="A3628" s="401">
        <v>43447</v>
      </c>
      <c r="B3628" s="403">
        <v>3.6769637784581599E+19</v>
      </c>
    </row>
    <row r="3629" spans="1:2" ht="12.9" x14ac:dyDescent="0.35">
      <c r="A3629" s="401">
        <v>43448</v>
      </c>
      <c r="B3629" s="403">
        <v>4.0979901653045199E+19</v>
      </c>
    </row>
    <row r="3630" spans="1:2" ht="12.9" x14ac:dyDescent="0.35">
      <c r="A3630" s="401">
        <v>43449</v>
      </c>
      <c r="B3630" s="403">
        <v>4.1821954426737902E+19</v>
      </c>
    </row>
    <row r="3631" spans="1:2" ht="12.9" x14ac:dyDescent="0.35">
      <c r="A3631" s="401">
        <v>43450</v>
      </c>
      <c r="B3631" s="403">
        <v>3.2278689658220499E+19</v>
      </c>
    </row>
    <row r="3632" spans="1:2" ht="12.9" x14ac:dyDescent="0.35">
      <c r="A3632" s="401">
        <v>43451</v>
      </c>
      <c r="B3632" s="403">
        <v>4.4909481263611199E+19</v>
      </c>
    </row>
    <row r="3633" spans="1:2" ht="12.9" x14ac:dyDescent="0.35">
      <c r="A3633" s="401">
        <v>43452</v>
      </c>
      <c r="B3633" s="403">
        <v>3.5927585010888901E+19</v>
      </c>
    </row>
    <row r="3634" spans="1:2" ht="12.9" x14ac:dyDescent="0.35">
      <c r="A3634" s="401">
        <v>43453</v>
      </c>
      <c r="B3634" s="403">
        <v>3.78224074037364E+19</v>
      </c>
    </row>
    <row r="3635" spans="1:2" ht="12.9" x14ac:dyDescent="0.35">
      <c r="A3635" s="401">
        <v>43454</v>
      </c>
      <c r="B3635" s="403">
        <v>3.4268624157747798E+19</v>
      </c>
    </row>
    <row r="3636" spans="1:2" ht="12.9" x14ac:dyDescent="0.35">
      <c r="A3636" s="401">
        <v>43455</v>
      </c>
      <c r="B3636" s="403">
        <v>3.55378324598866E+19</v>
      </c>
    </row>
    <row r="3637" spans="1:2" ht="12.9" x14ac:dyDescent="0.35">
      <c r="A3637" s="401">
        <v>43456</v>
      </c>
      <c r="B3637" s="403">
        <v>4.4422290574858199E+19</v>
      </c>
    </row>
    <row r="3638" spans="1:2" ht="12.9" x14ac:dyDescent="0.35">
      <c r="A3638" s="401">
        <v>43457</v>
      </c>
      <c r="B3638" s="403">
        <v>4.4676132235286004E+19</v>
      </c>
    </row>
    <row r="3639" spans="1:2" ht="12.9" x14ac:dyDescent="0.35">
      <c r="A3639" s="401">
        <v>43458</v>
      </c>
      <c r="B3639" s="403">
        <v>3.8583932385019699E+19</v>
      </c>
    </row>
    <row r="3640" spans="1:2" ht="12.9" x14ac:dyDescent="0.35">
      <c r="A3640" s="401">
        <v>43459</v>
      </c>
      <c r="B3640" s="403">
        <v>4.0360824008014103E+19</v>
      </c>
    </row>
    <row r="3641" spans="1:2" ht="12.9" x14ac:dyDescent="0.35">
      <c r="A3641" s="401">
        <v>43460</v>
      </c>
      <c r="B3641" s="403">
        <v>3.9853140687158501E+19</v>
      </c>
    </row>
    <row r="3642" spans="1:2" ht="12.9" x14ac:dyDescent="0.35">
      <c r="A3642" s="401">
        <v>43461</v>
      </c>
      <c r="B3642" s="403">
        <v>4.4168448914430501E+19</v>
      </c>
    </row>
    <row r="3643" spans="1:2" ht="12.9" x14ac:dyDescent="0.35">
      <c r="A3643" s="401">
        <v>43462</v>
      </c>
      <c r="B3643" s="403">
        <v>4.2391557291436098E+19</v>
      </c>
    </row>
    <row r="3644" spans="1:2" ht="12.9" x14ac:dyDescent="0.35">
      <c r="A3644" s="401">
        <v>43463</v>
      </c>
      <c r="B3644" s="403">
        <v>3.5030149139031101E+19</v>
      </c>
    </row>
    <row r="3645" spans="1:2" ht="12.9" x14ac:dyDescent="0.35">
      <c r="A3645" s="401">
        <v>43464</v>
      </c>
      <c r="B3645" s="403">
        <v>4.4676132235286004E+19</v>
      </c>
    </row>
    <row r="3646" spans="1:2" ht="12.9" x14ac:dyDescent="0.35">
      <c r="A3646" s="401">
        <v>43465</v>
      </c>
      <c r="B3646" s="403">
        <v>3.9345457366302999E+19</v>
      </c>
    </row>
    <row r="3647" spans="1:2" ht="12.9" x14ac:dyDescent="0.35">
      <c r="A3647" s="401">
        <v>43466</v>
      </c>
      <c r="B3647" s="403">
        <v>4.1615985273375703E+19</v>
      </c>
    </row>
    <row r="3648" spans="1:2" ht="12.9" x14ac:dyDescent="0.35">
      <c r="A3648" s="401">
        <v>43467</v>
      </c>
      <c r="B3648" s="403">
        <v>4.21745891025485E+19</v>
      </c>
    </row>
    <row r="3649" spans="1:2" ht="12.9" x14ac:dyDescent="0.35">
      <c r="A3649" s="401">
        <v>43468</v>
      </c>
      <c r="B3649" s="403">
        <v>4.3291796760894202E+19</v>
      </c>
    </row>
    <row r="3650" spans="1:2" ht="12.9" x14ac:dyDescent="0.35">
      <c r="A3650" s="401">
        <v>43469</v>
      </c>
      <c r="B3650" s="403">
        <v>4.1615985273375703E+19</v>
      </c>
    </row>
    <row r="3651" spans="1:2" ht="12.9" x14ac:dyDescent="0.35">
      <c r="A3651" s="401">
        <v>43470</v>
      </c>
      <c r="B3651" s="403">
        <v>4.5526212077585498E+19</v>
      </c>
    </row>
    <row r="3652" spans="1:2" ht="12.9" x14ac:dyDescent="0.35">
      <c r="A3652" s="401">
        <v>43471</v>
      </c>
      <c r="B3652" s="403">
        <v>3.9381569956684399E+19</v>
      </c>
    </row>
    <row r="3653" spans="1:2" ht="12.9" x14ac:dyDescent="0.35">
      <c r="A3653" s="401">
        <v>43472</v>
      </c>
      <c r="B3653" s="403">
        <v>3.9381569956684399E+19</v>
      </c>
    </row>
    <row r="3654" spans="1:2" ht="12.9" x14ac:dyDescent="0.35">
      <c r="A3654" s="401">
        <v>43473</v>
      </c>
      <c r="B3654" s="403">
        <v>4.7202023565103997E+19</v>
      </c>
    </row>
    <row r="3655" spans="1:2" ht="12.9" x14ac:dyDescent="0.35">
      <c r="A3655" s="401">
        <v>43474</v>
      </c>
      <c r="B3655" s="403">
        <v>4.5805513992171897E+19</v>
      </c>
    </row>
    <row r="3656" spans="1:2" ht="12.9" x14ac:dyDescent="0.35">
      <c r="A3656" s="401">
        <v>43475</v>
      </c>
      <c r="B3656" s="403">
        <v>4.3571098675480601E+19</v>
      </c>
    </row>
    <row r="3657" spans="1:2" ht="12.9" x14ac:dyDescent="0.35">
      <c r="A3657" s="401">
        <v>43476</v>
      </c>
      <c r="B3657" s="403">
        <v>4.1336683358789296E+19</v>
      </c>
    </row>
    <row r="3658" spans="1:2" ht="12.9" x14ac:dyDescent="0.35">
      <c r="A3658" s="401">
        <v>43477</v>
      </c>
      <c r="B3658" s="403">
        <v>3.8543664212925096E+19</v>
      </c>
    </row>
    <row r="3659" spans="1:2" ht="12.9" x14ac:dyDescent="0.35">
      <c r="A3659" s="401">
        <v>43478</v>
      </c>
      <c r="B3659" s="403">
        <v>3.8264362298338697E+19</v>
      </c>
    </row>
    <row r="3660" spans="1:2" ht="12.9" x14ac:dyDescent="0.35">
      <c r="A3660" s="401">
        <v>43479</v>
      </c>
      <c r="B3660" s="403">
        <v>4.3581703058661704E+19</v>
      </c>
    </row>
    <row r="3661" spans="1:2" ht="12.9" x14ac:dyDescent="0.35">
      <c r="A3661" s="401">
        <v>43480</v>
      </c>
      <c r="B3661" s="403">
        <v>3.8609293984854696E+19</v>
      </c>
    </row>
    <row r="3662" spans="1:2" ht="12.9" x14ac:dyDescent="0.35">
      <c r="A3662" s="401">
        <v>43481</v>
      </c>
      <c r="B3662" s="403">
        <v>3.8901788636255101E+19</v>
      </c>
    </row>
    <row r="3663" spans="1:2" ht="12.9" x14ac:dyDescent="0.35">
      <c r="A3663" s="401">
        <v>43482</v>
      </c>
      <c r="B3663" s="403">
        <v>3.7146820727852597E+19</v>
      </c>
    </row>
    <row r="3664" spans="1:2" ht="12.9" x14ac:dyDescent="0.35">
      <c r="A3664" s="401">
        <v>43483</v>
      </c>
      <c r="B3664" s="403">
        <v>4.03642618932572E+19</v>
      </c>
    </row>
    <row r="3665" spans="1:2" ht="12.9" x14ac:dyDescent="0.35">
      <c r="A3665" s="401">
        <v>43484</v>
      </c>
      <c r="B3665" s="403">
        <v>3.8901788636255101E+19</v>
      </c>
    </row>
    <row r="3666" spans="1:2" ht="12.9" x14ac:dyDescent="0.35">
      <c r="A3666" s="401">
        <v>43485</v>
      </c>
      <c r="B3666" s="403">
        <v>4.5921660269865099E+19</v>
      </c>
    </row>
    <row r="3667" spans="1:2" ht="12.9" x14ac:dyDescent="0.35">
      <c r="A3667" s="401">
        <v>43486</v>
      </c>
      <c r="B3667" s="403">
        <v>4.3874197710062199E+19</v>
      </c>
    </row>
    <row r="3668" spans="1:2" ht="12.9" x14ac:dyDescent="0.35">
      <c r="A3668" s="401">
        <v>43487</v>
      </c>
      <c r="B3668" s="403">
        <v>3.8024304682053902E+19</v>
      </c>
    </row>
    <row r="3669" spans="1:2" ht="12.9" x14ac:dyDescent="0.35">
      <c r="A3669" s="401">
        <v>43488</v>
      </c>
      <c r="B3669" s="403">
        <v>4.2704219104460497E+19</v>
      </c>
    </row>
    <row r="3670" spans="1:2" ht="12.9" x14ac:dyDescent="0.35">
      <c r="A3670" s="401">
        <v>43489</v>
      </c>
      <c r="B3670" s="403">
        <v>4.73841335268671E+19</v>
      </c>
    </row>
    <row r="3671" spans="1:2" ht="12.9" x14ac:dyDescent="0.35">
      <c r="A3671" s="401">
        <v>43490</v>
      </c>
      <c r="B3671" s="403">
        <v>4.03642618932572E+19</v>
      </c>
    </row>
    <row r="3672" spans="1:2" ht="12.9" x14ac:dyDescent="0.35">
      <c r="A3672" s="401">
        <v>43491</v>
      </c>
      <c r="B3672" s="403">
        <v>4.3874197710062199E+19</v>
      </c>
    </row>
    <row r="3673" spans="1:2" ht="12.9" x14ac:dyDescent="0.35">
      <c r="A3673" s="401">
        <v>43492</v>
      </c>
      <c r="B3673" s="403">
        <v>4.0071767241856803E+19</v>
      </c>
    </row>
    <row r="3674" spans="1:2" ht="12.9" x14ac:dyDescent="0.35">
      <c r="A3674" s="401">
        <v>43493</v>
      </c>
      <c r="B3674" s="403">
        <v>4.1912019832557199E+19</v>
      </c>
    </row>
    <row r="3675" spans="1:2" ht="12.9" x14ac:dyDescent="0.35">
      <c r="A3675" s="401">
        <v>43494</v>
      </c>
      <c r="B3675" s="403">
        <v>4.2201068245195497E+19</v>
      </c>
    </row>
    <row r="3676" spans="1:2" ht="12.9" x14ac:dyDescent="0.35">
      <c r="A3676" s="401">
        <v>43495</v>
      </c>
      <c r="B3676" s="403">
        <v>3.9310584118812303E+19</v>
      </c>
    </row>
    <row r="3677" spans="1:2" ht="12.9" x14ac:dyDescent="0.35">
      <c r="A3677" s="401">
        <v>43496</v>
      </c>
      <c r="B3677" s="403">
        <v>4.48025039589405E+19</v>
      </c>
    </row>
    <row r="3678" spans="1:2" ht="12.9" x14ac:dyDescent="0.35">
      <c r="A3678" s="401">
        <v>43497</v>
      </c>
      <c r="B3678" s="403">
        <v>4.5669649196855402E+19</v>
      </c>
    </row>
    <row r="3679" spans="1:2" ht="12.9" x14ac:dyDescent="0.35">
      <c r="A3679" s="401">
        <v>43498</v>
      </c>
      <c r="B3679" s="403">
        <v>4.1622971419918901E+19</v>
      </c>
    </row>
    <row r="3680" spans="1:2" ht="12.9" x14ac:dyDescent="0.35">
      <c r="A3680" s="401">
        <v>43499</v>
      </c>
      <c r="B3680" s="403">
        <v>3.98886809440889E+19</v>
      </c>
    </row>
    <row r="3681" spans="1:2" ht="12.9" x14ac:dyDescent="0.35">
      <c r="A3681" s="401">
        <v>43500</v>
      </c>
      <c r="B3681" s="403">
        <v>4.2490116657833804E+19</v>
      </c>
    </row>
    <row r="3682" spans="1:2" ht="12.9" x14ac:dyDescent="0.35">
      <c r="A3682" s="401">
        <v>43501</v>
      </c>
      <c r="B3682" s="403">
        <v>4.2490116657833804E+19</v>
      </c>
    </row>
    <row r="3683" spans="1:2" ht="12.9" x14ac:dyDescent="0.35">
      <c r="A3683" s="401">
        <v>43502</v>
      </c>
      <c r="B3683" s="403">
        <v>4.7403939672685396E+19</v>
      </c>
    </row>
    <row r="3684" spans="1:2" ht="12.9" x14ac:dyDescent="0.35">
      <c r="A3684" s="401">
        <v>43503</v>
      </c>
      <c r="B3684" s="403">
        <v>5.0294423799068598E+19</v>
      </c>
    </row>
    <row r="3685" spans="1:2" ht="12.9" x14ac:dyDescent="0.35">
      <c r="A3685" s="401">
        <v>43504</v>
      </c>
      <c r="B3685" s="403">
        <v>4.7114891260047098E+19</v>
      </c>
    </row>
    <row r="3686" spans="1:2" ht="12.9" x14ac:dyDescent="0.35">
      <c r="A3686" s="401">
        <v>43505</v>
      </c>
      <c r="B3686" s="403">
        <v>4.3357261895748796E+19</v>
      </c>
    </row>
    <row r="3687" spans="1:2" ht="12.9" x14ac:dyDescent="0.35">
      <c r="A3687" s="401">
        <v>43506</v>
      </c>
      <c r="B3687" s="403">
        <v>4.0466777769365602E+19</v>
      </c>
    </row>
    <row r="3688" spans="1:2" ht="12.9" x14ac:dyDescent="0.35">
      <c r="A3688" s="401">
        <v>43507</v>
      </c>
      <c r="B3688" s="403">
        <v>4.36913616410392E+19</v>
      </c>
    </row>
    <row r="3689" spans="1:2" ht="12.9" x14ac:dyDescent="0.35">
      <c r="A3689" s="401">
        <v>43508</v>
      </c>
      <c r="B3689" s="403">
        <v>3.8568926138296697E+19</v>
      </c>
    </row>
    <row r="3690" spans="1:2" ht="12.9" x14ac:dyDescent="0.35">
      <c r="A3690" s="401">
        <v>43509</v>
      </c>
      <c r="B3690" s="403">
        <v>4.6101919524682703E+19</v>
      </c>
    </row>
    <row r="3691" spans="1:2" ht="12.9" x14ac:dyDescent="0.35">
      <c r="A3691" s="401">
        <v>43510</v>
      </c>
      <c r="B3691" s="403">
        <v>4.2486082699217404E+19</v>
      </c>
    </row>
    <row r="3692" spans="1:2" ht="12.9" x14ac:dyDescent="0.35">
      <c r="A3692" s="401">
        <v>43511</v>
      </c>
      <c r="B3692" s="403">
        <v>3.8267606402841199E+19</v>
      </c>
    </row>
    <row r="3693" spans="1:2" ht="12.9" x14ac:dyDescent="0.35">
      <c r="A3693" s="401">
        <v>43512</v>
      </c>
      <c r="B3693" s="403">
        <v>4.5197960318316397E+19</v>
      </c>
    </row>
    <row r="3694" spans="1:2" ht="12.9" x14ac:dyDescent="0.35">
      <c r="A3694" s="401">
        <v>43513</v>
      </c>
      <c r="B3694" s="403">
        <v>4.7909837937415397E+19</v>
      </c>
    </row>
    <row r="3695" spans="1:2" ht="12.9" x14ac:dyDescent="0.35">
      <c r="A3695" s="401">
        <v>43514</v>
      </c>
      <c r="B3695" s="403">
        <v>4.6704558995593601E+19</v>
      </c>
    </row>
    <row r="3696" spans="1:2" ht="12.9" x14ac:dyDescent="0.35">
      <c r="A3696" s="401">
        <v>43515</v>
      </c>
      <c r="B3696" s="403">
        <v>4.7005878731049099E+19</v>
      </c>
    </row>
    <row r="3697" spans="1:2" ht="12.9" x14ac:dyDescent="0.35">
      <c r="A3697" s="401">
        <v>43516</v>
      </c>
      <c r="B3697" s="403">
        <v>3.9171565609207497E+19</v>
      </c>
    </row>
    <row r="3698" spans="1:2" ht="12.9" x14ac:dyDescent="0.35">
      <c r="A3698" s="401">
        <v>43517</v>
      </c>
      <c r="B3698" s="403">
        <v>3.58570485191977E+19</v>
      </c>
    </row>
    <row r="3699" spans="1:2" ht="12.9" x14ac:dyDescent="0.35">
      <c r="A3699" s="401">
        <v>43518</v>
      </c>
      <c r="B3699" s="403">
        <v>4.8813797143781704E+19</v>
      </c>
    </row>
    <row r="3700" spans="1:2" ht="12.9" x14ac:dyDescent="0.35">
      <c r="A3700" s="401">
        <v>43519</v>
      </c>
      <c r="B3700" s="403">
        <v>4.3088722170128302E+19</v>
      </c>
    </row>
    <row r="3701" spans="1:2" ht="12.9" x14ac:dyDescent="0.35">
      <c r="A3701" s="401">
        <v>43520</v>
      </c>
      <c r="B3701" s="403">
        <v>4.1280803757395698E+19</v>
      </c>
    </row>
    <row r="3702" spans="1:2" ht="12.9" x14ac:dyDescent="0.35">
      <c r="A3702" s="401">
        <v>43521</v>
      </c>
      <c r="B3702" s="403">
        <v>4.3162133913636102E+19</v>
      </c>
    </row>
    <row r="3703" spans="1:2" ht="12.9" x14ac:dyDescent="0.35">
      <c r="A3703" s="401">
        <v>43522</v>
      </c>
      <c r="B3703" s="403">
        <v>4.8595129790877098E+19</v>
      </c>
    </row>
    <row r="3704" spans="1:2" ht="12.9" x14ac:dyDescent="0.35">
      <c r="A3704" s="401">
        <v>43523</v>
      </c>
      <c r="B3704" s="403">
        <v>4.2558467705053798E+19</v>
      </c>
    </row>
    <row r="3705" spans="1:2" ht="12.9" x14ac:dyDescent="0.35">
      <c r="A3705" s="401">
        <v>43524</v>
      </c>
      <c r="B3705" s="403">
        <v>4.5274965643674296E+19</v>
      </c>
    </row>
    <row r="3706" spans="1:2" ht="12.9" x14ac:dyDescent="0.35">
      <c r="A3706" s="401">
        <v>43525</v>
      </c>
      <c r="B3706" s="403">
        <v>4.8896962895168201E+19</v>
      </c>
    </row>
    <row r="3707" spans="1:2" ht="12.9" x14ac:dyDescent="0.35">
      <c r="A3707" s="401">
        <v>43526</v>
      </c>
      <c r="B3707" s="403">
        <v>3.9841969766433399E+19</v>
      </c>
    </row>
    <row r="3708" spans="1:2" ht="12.9" x14ac:dyDescent="0.35">
      <c r="A3708" s="401">
        <v>43527</v>
      </c>
      <c r="B3708" s="403">
        <v>4.4067633226509599E+19</v>
      </c>
    </row>
    <row r="3709" spans="1:2" ht="12.9" x14ac:dyDescent="0.35">
      <c r="A3709" s="401">
        <v>43528</v>
      </c>
      <c r="B3709" s="403">
        <v>4.1351135287889199E+19</v>
      </c>
    </row>
    <row r="3710" spans="1:2" ht="12.9" x14ac:dyDescent="0.35">
      <c r="A3710" s="401">
        <v>43529</v>
      </c>
      <c r="B3710" s="403">
        <v>4.4973132539383103E+19</v>
      </c>
    </row>
    <row r="3711" spans="1:2" ht="12.9" x14ac:dyDescent="0.35">
      <c r="A3711" s="401">
        <v>43530</v>
      </c>
      <c r="B3711" s="403">
        <v>3.8634637349268701E+19</v>
      </c>
    </row>
    <row r="3712" spans="1:2" ht="12.9" x14ac:dyDescent="0.35">
      <c r="A3712" s="401">
        <v>43531</v>
      </c>
      <c r="B3712" s="403">
        <v>4.2860300809344999E+19</v>
      </c>
    </row>
    <row r="3713" spans="1:2" ht="12.9" x14ac:dyDescent="0.35">
      <c r="A3713" s="401">
        <v>43532</v>
      </c>
      <c r="B3713" s="403">
        <v>4.4067633226509599E+19</v>
      </c>
    </row>
    <row r="3714" spans="1:2" ht="12.9" x14ac:dyDescent="0.35">
      <c r="A3714" s="401">
        <v>43533</v>
      </c>
      <c r="B3714" s="403">
        <v>4.1652968392180302E+19</v>
      </c>
    </row>
    <row r="3715" spans="1:2" ht="12.9" x14ac:dyDescent="0.35">
      <c r="A3715" s="401">
        <v>43534</v>
      </c>
      <c r="B3715" s="403">
        <v>4.1049302183597998E+19</v>
      </c>
    </row>
    <row r="3716" spans="1:2" ht="12.9" x14ac:dyDescent="0.35">
      <c r="A3716" s="401">
        <v>43535</v>
      </c>
      <c r="B3716" s="403">
        <v>4.2839445354340196E+19</v>
      </c>
    </row>
    <row r="3717" spans="1:2" ht="12.9" x14ac:dyDescent="0.35">
      <c r="A3717" s="401">
        <v>43536</v>
      </c>
      <c r="B3717" s="403">
        <v>4.3141131589229904E+19</v>
      </c>
    </row>
    <row r="3718" spans="1:2" ht="12.9" x14ac:dyDescent="0.35">
      <c r="A3718" s="401">
        <v>43537</v>
      </c>
      <c r="B3718" s="403">
        <v>4.0727641710112203E+19</v>
      </c>
    </row>
    <row r="3719" spans="1:2" ht="12.9" x14ac:dyDescent="0.35">
      <c r="A3719" s="401">
        <v>43538</v>
      </c>
      <c r="B3719" s="403">
        <v>4.6761366407906599E+19</v>
      </c>
    </row>
    <row r="3720" spans="1:2" ht="12.9" x14ac:dyDescent="0.35">
      <c r="A3720" s="401">
        <v>43539</v>
      </c>
      <c r="B3720" s="403">
        <v>4.6157993938127102E+19</v>
      </c>
    </row>
    <row r="3721" spans="1:2" ht="12.9" x14ac:dyDescent="0.35">
      <c r="A3721" s="401">
        <v>43540</v>
      </c>
      <c r="B3721" s="403">
        <v>4.91748562870243E+19</v>
      </c>
    </row>
    <row r="3722" spans="1:2" ht="12.9" x14ac:dyDescent="0.35">
      <c r="A3722" s="401">
        <v>43541</v>
      </c>
      <c r="B3722" s="403">
        <v>4.40461902938991E+19</v>
      </c>
    </row>
    <row r="3723" spans="1:2" ht="12.9" x14ac:dyDescent="0.35">
      <c r="A3723" s="401">
        <v>43542</v>
      </c>
      <c r="B3723" s="403">
        <v>4.8571483817244901E+19</v>
      </c>
    </row>
    <row r="3724" spans="1:2" ht="12.9" x14ac:dyDescent="0.35">
      <c r="A3724" s="401">
        <v>43543</v>
      </c>
      <c r="B3724" s="403">
        <v>5.2493404870811197E+19</v>
      </c>
    </row>
    <row r="3725" spans="1:2" ht="12.9" x14ac:dyDescent="0.35">
      <c r="A3725" s="401">
        <v>43544</v>
      </c>
      <c r="B3725" s="403">
        <v>4.8571483817244901E+19</v>
      </c>
    </row>
    <row r="3726" spans="1:2" ht="12.9" x14ac:dyDescent="0.35">
      <c r="A3726" s="401">
        <v>43545</v>
      </c>
      <c r="B3726" s="403">
        <v>4.3141131589229904E+19</v>
      </c>
    </row>
    <row r="3727" spans="1:2" ht="12.9" x14ac:dyDescent="0.35">
      <c r="A3727" s="401">
        <v>43546</v>
      </c>
      <c r="B3727" s="403">
        <v>4.8571483817244901E+19</v>
      </c>
    </row>
    <row r="3728" spans="1:2" ht="12.9" x14ac:dyDescent="0.35">
      <c r="A3728" s="401">
        <v>43547</v>
      </c>
      <c r="B3728" s="403">
        <v>4.3744504059009401E+19</v>
      </c>
    </row>
    <row r="3729" spans="1:2" ht="12.9" x14ac:dyDescent="0.35">
      <c r="A3729" s="401">
        <v>43548</v>
      </c>
      <c r="B3729" s="403">
        <v>4.7567250844293603E+19</v>
      </c>
    </row>
    <row r="3730" spans="1:2" ht="12.9" x14ac:dyDescent="0.35">
      <c r="A3730" s="401">
        <v>43549</v>
      </c>
      <c r="B3730" s="403">
        <v>4.6933020833036403E+19</v>
      </c>
    </row>
    <row r="3731" spans="1:2" ht="12.9" x14ac:dyDescent="0.35">
      <c r="A3731" s="401">
        <v>43550</v>
      </c>
      <c r="B3731" s="403">
        <v>4.2493410754235597E+19</v>
      </c>
    </row>
    <row r="3732" spans="1:2" ht="12.9" x14ac:dyDescent="0.35">
      <c r="A3732" s="401">
        <v>43551</v>
      </c>
      <c r="B3732" s="403">
        <v>4.7250135838664999E+19</v>
      </c>
    </row>
    <row r="3733" spans="1:2" ht="12.9" x14ac:dyDescent="0.35">
      <c r="A3733" s="401">
        <v>43552</v>
      </c>
      <c r="B3733" s="403">
        <v>4.6298790821779104E+19</v>
      </c>
    </row>
    <row r="3734" spans="1:2" ht="12.9" x14ac:dyDescent="0.35">
      <c r="A3734" s="401">
        <v>43553</v>
      </c>
      <c r="B3734" s="403">
        <v>4.66159058274077E+19</v>
      </c>
    </row>
    <row r="3735" spans="1:2" ht="12.9" x14ac:dyDescent="0.35">
      <c r="A3735" s="401">
        <v>43554</v>
      </c>
      <c r="B3735" s="403">
        <v>4.4078985782378701E+19</v>
      </c>
    </row>
    <row r="3736" spans="1:2" ht="12.9" x14ac:dyDescent="0.35">
      <c r="A3736" s="401">
        <v>43555</v>
      </c>
      <c r="B3736" s="403">
        <v>4.4078985782378701E+19</v>
      </c>
    </row>
    <row r="3737" spans="1:2" ht="12.9" x14ac:dyDescent="0.35">
      <c r="A3737" s="401">
        <v>43556</v>
      </c>
      <c r="B3737" s="403">
        <v>4.3127640765492904E+19</v>
      </c>
    </row>
    <row r="3738" spans="1:2" ht="12.9" x14ac:dyDescent="0.35">
      <c r="A3738" s="401">
        <v>43557</v>
      </c>
      <c r="B3738" s="403">
        <v>4.9787055883693998E+19</v>
      </c>
    </row>
    <row r="3739" spans="1:2" ht="12.9" x14ac:dyDescent="0.35">
      <c r="A3739" s="401">
        <v>43558</v>
      </c>
      <c r="B3739" s="403">
        <v>4.5030330799264596E+19</v>
      </c>
    </row>
    <row r="3740" spans="1:2" ht="12.9" x14ac:dyDescent="0.35">
      <c r="A3740" s="401">
        <v>43559</v>
      </c>
      <c r="B3740" s="403">
        <v>4.4396100788007404E+19</v>
      </c>
    </row>
    <row r="3741" spans="1:2" ht="12.9" x14ac:dyDescent="0.35">
      <c r="A3741" s="401">
        <v>43560</v>
      </c>
      <c r="B3741" s="403">
        <v>5.0104170889322602E+19</v>
      </c>
    </row>
    <row r="3742" spans="1:2" ht="12.9" x14ac:dyDescent="0.35">
      <c r="A3742" s="401">
        <v>43561</v>
      </c>
      <c r="B3742" s="403">
        <v>4.4078985782378701E+19</v>
      </c>
    </row>
    <row r="3743" spans="1:2" ht="12.9" x14ac:dyDescent="0.35">
      <c r="A3743" s="401">
        <v>43562</v>
      </c>
      <c r="B3743" s="403">
        <v>4.4809649515031699E+19</v>
      </c>
    </row>
    <row r="3744" spans="1:2" ht="12.9" x14ac:dyDescent="0.35">
      <c r="A3744" s="401">
        <v>43563</v>
      </c>
      <c r="B3744" s="403">
        <v>4.7034242044146803E+19</v>
      </c>
    </row>
    <row r="3745" spans="1:2" ht="12.9" x14ac:dyDescent="0.35">
      <c r="A3745" s="401">
        <v>43564</v>
      </c>
      <c r="B3745" s="403">
        <v>4.1949459120455197E+19</v>
      </c>
    </row>
    <row r="3746" spans="1:2" ht="12.9" x14ac:dyDescent="0.35">
      <c r="A3746" s="401">
        <v>43565</v>
      </c>
      <c r="B3746" s="403">
        <v>4.7034242044146803E+19</v>
      </c>
    </row>
    <row r="3747" spans="1:2" ht="12.9" x14ac:dyDescent="0.35">
      <c r="A3747" s="401">
        <v>43566</v>
      </c>
      <c r="B3747" s="403">
        <v>4.9894432438723297E+19</v>
      </c>
    </row>
    <row r="3748" spans="1:2" ht="12.9" x14ac:dyDescent="0.35">
      <c r="A3748" s="401">
        <v>43567</v>
      </c>
      <c r="B3748" s="403">
        <v>4.7987638842338902E+19</v>
      </c>
    </row>
    <row r="3749" spans="1:2" ht="12.9" x14ac:dyDescent="0.35">
      <c r="A3749" s="401">
        <v>43568</v>
      </c>
      <c r="B3749" s="403">
        <v>4.2902855918647402E+19</v>
      </c>
    </row>
    <row r="3750" spans="1:2" ht="12.9" x14ac:dyDescent="0.35">
      <c r="A3750" s="401">
        <v>43569</v>
      </c>
      <c r="B3750" s="403">
        <v>3.8771469793148002E+19</v>
      </c>
    </row>
    <row r="3751" spans="1:2" ht="12.9" x14ac:dyDescent="0.35">
      <c r="A3751" s="401">
        <v>43570</v>
      </c>
      <c r="B3751" s="403">
        <v>4.6080845245954597E+19</v>
      </c>
    </row>
    <row r="3752" spans="1:2" ht="12.9" x14ac:dyDescent="0.35">
      <c r="A3752" s="401">
        <v>43571</v>
      </c>
      <c r="B3752" s="403">
        <v>4.6080845245954597E+19</v>
      </c>
    </row>
    <row r="3753" spans="1:2" ht="12.9" x14ac:dyDescent="0.35">
      <c r="A3753" s="401">
        <v>43572</v>
      </c>
      <c r="B3753" s="403">
        <v>4.3856252716839502E+19</v>
      </c>
    </row>
    <row r="3754" spans="1:2" ht="12.9" x14ac:dyDescent="0.35">
      <c r="A3754" s="401">
        <v>43573</v>
      </c>
      <c r="B3754" s="403">
        <v>4.7352040976877502E+19</v>
      </c>
    </row>
    <row r="3755" spans="1:2" ht="12.9" x14ac:dyDescent="0.35">
      <c r="A3755" s="401">
        <v>43574</v>
      </c>
      <c r="B3755" s="403">
        <v>4.83054377750697E+19</v>
      </c>
    </row>
    <row r="3756" spans="1:2" ht="12.9" x14ac:dyDescent="0.35">
      <c r="A3756" s="401">
        <v>43575</v>
      </c>
      <c r="B3756" s="403">
        <v>4.1631660187724497E+19</v>
      </c>
    </row>
    <row r="3757" spans="1:2" ht="12.9" x14ac:dyDescent="0.35">
      <c r="A3757" s="401">
        <v>43576</v>
      </c>
      <c r="B3757" s="403">
        <v>5.1161359684696203E+19</v>
      </c>
    </row>
    <row r="3758" spans="1:2" ht="12.9" x14ac:dyDescent="0.35">
      <c r="A3758" s="401">
        <v>43577</v>
      </c>
      <c r="B3758" s="403">
        <v>4.2318655541662302E+19</v>
      </c>
    </row>
    <row r="3759" spans="1:2" ht="12.9" x14ac:dyDescent="0.35">
      <c r="A3759" s="401">
        <v>43578</v>
      </c>
      <c r="B3759" s="403">
        <v>3.66340600211405E+19</v>
      </c>
    </row>
    <row r="3760" spans="1:2" ht="12.9" x14ac:dyDescent="0.35">
      <c r="A3760" s="401">
        <v>43579</v>
      </c>
      <c r="B3760" s="403">
        <v>5.14771705469474E+19</v>
      </c>
    </row>
    <row r="3761" spans="1:2" ht="12.9" x14ac:dyDescent="0.35">
      <c r="A3761" s="401">
        <v>43580</v>
      </c>
      <c r="B3761" s="403">
        <v>4.5160953301923201E+19</v>
      </c>
    </row>
    <row r="3762" spans="1:2" ht="12.9" x14ac:dyDescent="0.35">
      <c r="A3762" s="401">
        <v>43581</v>
      </c>
      <c r="B3762" s="403">
        <v>4.7687440199932903E+19</v>
      </c>
    </row>
    <row r="3763" spans="1:2" ht="12.9" x14ac:dyDescent="0.35">
      <c r="A3763" s="401">
        <v>43582</v>
      </c>
      <c r="B3763" s="403">
        <v>4.32660881284159E+19</v>
      </c>
    </row>
    <row r="3764" spans="1:2" ht="12.9" x14ac:dyDescent="0.35">
      <c r="A3764" s="401">
        <v>43583</v>
      </c>
      <c r="B3764" s="403">
        <v>5.14771705469474E+19</v>
      </c>
    </row>
    <row r="3765" spans="1:2" ht="12.9" x14ac:dyDescent="0.35">
      <c r="A3765" s="401">
        <v>43584</v>
      </c>
      <c r="B3765" s="403">
        <v>5.14771705469474E+19</v>
      </c>
    </row>
    <row r="3766" spans="1:2" ht="12.9" x14ac:dyDescent="0.35">
      <c r="A3766" s="401">
        <v>43585</v>
      </c>
      <c r="B3766" s="403">
        <v>4.4213520715169604E+19</v>
      </c>
    </row>
    <row r="3767" spans="1:2" ht="12.9" x14ac:dyDescent="0.35">
      <c r="A3767" s="401">
        <v>43586</v>
      </c>
      <c r="B3767" s="403">
        <v>5.4003657444957102E+19</v>
      </c>
    </row>
    <row r="3768" spans="1:2" ht="12.9" x14ac:dyDescent="0.35">
      <c r="A3768" s="401">
        <v>43587</v>
      </c>
      <c r="B3768" s="403">
        <v>5.8109198654222901E+19</v>
      </c>
    </row>
    <row r="3769" spans="1:2" ht="12.9" x14ac:dyDescent="0.35">
      <c r="A3769" s="401">
        <v>43588</v>
      </c>
      <c r="B3769" s="403">
        <v>4.80032510621841E+19</v>
      </c>
    </row>
    <row r="3770" spans="1:2" ht="12.9" x14ac:dyDescent="0.35">
      <c r="A3770" s="401">
        <v>43589</v>
      </c>
      <c r="B3770" s="403">
        <v>4.39780007112047E+19</v>
      </c>
    </row>
    <row r="3771" spans="1:2" ht="12.9" x14ac:dyDescent="0.35">
      <c r="A3771" s="401">
        <v>43590</v>
      </c>
      <c r="B3771" s="403">
        <v>4.2978500695040901E+19</v>
      </c>
    </row>
    <row r="3772" spans="1:2" ht="12.9" x14ac:dyDescent="0.35">
      <c r="A3772" s="401">
        <v>43591</v>
      </c>
      <c r="B3772" s="403">
        <v>5.0308167480241701E+19</v>
      </c>
    </row>
    <row r="3773" spans="1:2" ht="12.9" x14ac:dyDescent="0.35">
      <c r="A3773" s="401">
        <v>43592</v>
      </c>
      <c r="B3773" s="403">
        <v>4.2312167350931702E+19</v>
      </c>
    </row>
    <row r="3774" spans="1:2" ht="12.9" x14ac:dyDescent="0.35">
      <c r="A3774" s="401">
        <v>43593</v>
      </c>
      <c r="B3774" s="403">
        <v>5.0641334152296301E+19</v>
      </c>
    </row>
    <row r="3775" spans="1:2" ht="12.9" x14ac:dyDescent="0.35">
      <c r="A3775" s="401">
        <v>43594</v>
      </c>
      <c r="B3775" s="403">
        <v>4.9975000808187101E+19</v>
      </c>
    </row>
    <row r="3776" spans="1:2" ht="12.9" x14ac:dyDescent="0.35">
      <c r="A3776" s="401">
        <v>43595</v>
      </c>
      <c r="B3776" s="403">
        <v>4.1645834006822601E+19</v>
      </c>
    </row>
    <row r="3777" spans="1:2" ht="12.9" x14ac:dyDescent="0.35">
      <c r="A3777" s="401">
        <v>43596</v>
      </c>
      <c r="B3777" s="403">
        <v>4.3311667367095501E+19</v>
      </c>
    </row>
    <row r="3778" spans="1:2" ht="12.9" x14ac:dyDescent="0.35">
      <c r="A3778" s="401">
        <v>43597</v>
      </c>
      <c r="B3778" s="403">
        <v>5.26403341846238E+19</v>
      </c>
    </row>
    <row r="3779" spans="1:2" ht="12.9" x14ac:dyDescent="0.35">
      <c r="A3779" s="401">
        <v>43598</v>
      </c>
      <c r="B3779" s="403">
        <v>5.5638834233115001E+19</v>
      </c>
    </row>
    <row r="3780" spans="1:2" ht="12.9" x14ac:dyDescent="0.35">
      <c r="A3780" s="401">
        <v>43599</v>
      </c>
      <c r="B3780" s="403">
        <v>5.0641334152296301E+19</v>
      </c>
    </row>
    <row r="3781" spans="1:2" ht="12.9" x14ac:dyDescent="0.35">
      <c r="A3781" s="401">
        <v>43600</v>
      </c>
      <c r="B3781" s="403">
        <v>4.9641834136132502E+19</v>
      </c>
    </row>
    <row r="3782" spans="1:2" ht="12.9" x14ac:dyDescent="0.35">
      <c r="A3782" s="401">
        <v>43601</v>
      </c>
      <c r="B3782" s="403">
        <v>4.8642334119968801E+19</v>
      </c>
    </row>
    <row r="3783" spans="1:2" ht="12.9" x14ac:dyDescent="0.35">
      <c r="A3783" s="401">
        <v>43602</v>
      </c>
      <c r="B3783" s="403">
        <v>5.0308167480241701E+19</v>
      </c>
    </row>
    <row r="3784" spans="1:2" ht="12.9" x14ac:dyDescent="0.35">
      <c r="A3784" s="401">
        <v>43603</v>
      </c>
      <c r="B3784" s="403">
        <v>5.0993232042902897E+19</v>
      </c>
    </row>
    <row r="3785" spans="1:2" ht="12.9" x14ac:dyDescent="0.35">
      <c r="A3785" s="401">
        <v>43604</v>
      </c>
      <c r="B3785" s="403">
        <v>5.43261230260992E+19</v>
      </c>
    </row>
    <row r="3786" spans="1:2" ht="12.9" x14ac:dyDescent="0.35">
      <c r="A3786" s="401">
        <v>43605</v>
      </c>
      <c r="B3786" s="403">
        <v>5.3659544829459898E+19</v>
      </c>
    </row>
    <row r="3787" spans="1:2" ht="12.9" x14ac:dyDescent="0.35">
      <c r="A3787" s="401">
        <v>43606</v>
      </c>
      <c r="B3787" s="403">
        <v>5.0993232042902897E+19</v>
      </c>
    </row>
    <row r="3788" spans="1:2" ht="12.9" x14ac:dyDescent="0.35">
      <c r="A3788" s="401">
        <v>43607</v>
      </c>
      <c r="B3788" s="403">
        <v>5.5659279419377697E+19</v>
      </c>
    </row>
    <row r="3789" spans="1:2" ht="12.9" x14ac:dyDescent="0.35">
      <c r="A3789" s="401">
        <v>43608</v>
      </c>
      <c r="B3789" s="403">
        <v>5.2659677534501003E+19</v>
      </c>
    </row>
    <row r="3790" spans="1:2" ht="12.9" x14ac:dyDescent="0.35">
      <c r="A3790" s="401">
        <v>43609</v>
      </c>
      <c r="B3790" s="403">
        <v>5.0993232042902897E+19</v>
      </c>
    </row>
    <row r="3791" spans="1:2" ht="12.9" x14ac:dyDescent="0.35">
      <c r="A3791" s="401">
        <v>43610</v>
      </c>
      <c r="B3791" s="403">
        <v>4.6660473764747698E+19</v>
      </c>
    </row>
    <row r="3792" spans="1:2" ht="12.9" x14ac:dyDescent="0.35">
      <c r="A3792" s="401">
        <v>43611</v>
      </c>
      <c r="B3792" s="403">
        <v>5.4992701222738403E+19</v>
      </c>
    </row>
    <row r="3793" spans="1:2" ht="12.9" x14ac:dyDescent="0.35">
      <c r="A3793" s="401">
        <v>43612</v>
      </c>
      <c r="B3793" s="403">
        <v>5.5659279419377697E+19</v>
      </c>
    </row>
    <row r="3794" spans="1:2" ht="12.9" x14ac:dyDescent="0.35">
      <c r="A3794" s="401">
        <v>43613</v>
      </c>
      <c r="B3794" s="403">
        <v>5.4659412124418802E+19</v>
      </c>
    </row>
    <row r="3795" spans="1:2" ht="12.9" x14ac:dyDescent="0.35">
      <c r="A3795" s="401">
        <v>43614</v>
      </c>
      <c r="B3795" s="403">
        <v>5.7992303107614999E+19</v>
      </c>
    </row>
    <row r="3796" spans="1:2" ht="12.9" x14ac:dyDescent="0.35">
      <c r="A3796" s="401">
        <v>43615</v>
      </c>
      <c r="B3796" s="403">
        <v>5.3326255731140297E+19</v>
      </c>
    </row>
    <row r="3797" spans="1:2" ht="12.9" x14ac:dyDescent="0.35">
      <c r="A3797" s="401">
        <v>43616</v>
      </c>
      <c r="B3797" s="403">
        <v>4.3386260576385499E+19</v>
      </c>
    </row>
    <row r="3798" spans="1:2" ht="12.9" x14ac:dyDescent="0.35">
      <c r="A3798" s="401">
        <v>43617</v>
      </c>
      <c r="B3798" s="403">
        <v>5.5994233735335199E+19</v>
      </c>
    </row>
    <row r="3799" spans="1:2" ht="12.9" x14ac:dyDescent="0.35">
      <c r="A3799" s="401">
        <v>43618</v>
      </c>
      <c r="B3799" s="403">
        <v>4.8577778935952998E+19</v>
      </c>
    </row>
    <row r="3800" spans="1:2" ht="12.9" x14ac:dyDescent="0.35">
      <c r="A3800" s="401">
        <v>43619</v>
      </c>
      <c r="B3800" s="403">
        <v>4.4127906056323703E+19</v>
      </c>
    </row>
    <row r="3801" spans="1:2" ht="12.9" x14ac:dyDescent="0.35">
      <c r="A3801" s="401">
        <v>43620</v>
      </c>
      <c r="B3801" s="403">
        <v>5.71067019552425E+19</v>
      </c>
    </row>
    <row r="3802" spans="1:2" ht="12.9" x14ac:dyDescent="0.35">
      <c r="A3802" s="401">
        <v>43621</v>
      </c>
      <c r="B3802" s="403">
        <v>5.9331638395057103E+19</v>
      </c>
    </row>
    <row r="3803" spans="1:2" ht="12.9" x14ac:dyDescent="0.35">
      <c r="A3803" s="401">
        <v>43622</v>
      </c>
      <c r="B3803" s="403">
        <v>5.8219170175149801E+19</v>
      </c>
    </row>
    <row r="3804" spans="1:2" ht="12.9" x14ac:dyDescent="0.35">
      <c r="A3804" s="401">
        <v>43623</v>
      </c>
      <c r="B3804" s="403">
        <v>5.8589992915118899E+19</v>
      </c>
    </row>
    <row r="3805" spans="1:2" ht="12.9" x14ac:dyDescent="0.35">
      <c r="A3805" s="401">
        <v>43624</v>
      </c>
      <c r="B3805" s="403">
        <v>4.5982019756169298E+19</v>
      </c>
    </row>
    <row r="3806" spans="1:2" ht="12.9" x14ac:dyDescent="0.35">
      <c r="A3806" s="401">
        <v>43625</v>
      </c>
      <c r="B3806" s="403">
        <v>5.4510942775458701E+19</v>
      </c>
    </row>
    <row r="3807" spans="1:2" ht="12.9" x14ac:dyDescent="0.35">
      <c r="A3807" s="401">
        <v>43626</v>
      </c>
      <c r="B3807" s="403">
        <v>5.8219170175149801E+19</v>
      </c>
    </row>
    <row r="3808" spans="1:2" ht="12.9" x14ac:dyDescent="0.35">
      <c r="A3808" s="401">
        <v>43627</v>
      </c>
      <c r="B3808" s="403">
        <v>5.3027651815582302E+19</v>
      </c>
    </row>
    <row r="3809" spans="1:2" ht="12.9" x14ac:dyDescent="0.35">
      <c r="A3809" s="401">
        <v>43628</v>
      </c>
      <c r="B3809" s="403">
        <v>4.8577778935952998E+19</v>
      </c>
    </row>
    <row r="3810" spans="1:2" ht="12.9" x14ac:dyDescent="0.35">
      <c r="A3810" s="401">
        <v>43629</v>
      </c>
      <c r="B3810" s="403">
        <v>5.5994233735335199E+19</v>
      </c>
    </row>
    <row r="3811" spans="1:2" ht="12.9" x14ac:dyDescent="0.35">
      <c r="A3811" s="401">
        <v>43630</v>
      </c>
      <c r="B3811" s="403">
        <v>6.22466266247289E+19</v>
      </c>
    </row>
    <row r="3812" spans="1:2" ht="12.9" x14ac:dyDescent="0.35">
      <c r="A3812" s="401">
        <v>43631</v>
      </c>
      <c r="B3812" s="403">
        <v>5.3775192232014299E+19</v>
      </c>
    </row>
    <row r="3813" spans="1:2" ht="12.9" x14ac:dyDescent="0.35">
      <c r="A3813" s="401">
        <v>43632</v>
      </c>
      <c r="B3813" s="403">
        <v>4.7882020480560701E+19</v>
      </c>
    </row>
    <row r="3814" spans="1:2" ht="12.9" x14ac:dyDescent="0.35">
      <c r="A3814" s="401">
        <v>43633</v>
      </c>
      <c r="B3814" s="403">
        <v>4.89869901839582E+19</v>
      </c>
    </row>
    <row r="3815" spans="1:2" ht="12.9" x14ac:dyDescent="0.35">
      <c r="A3815" s="401">
        <v>43634</v>
      </c>
      <c r="B3815" s="403">
        <v>6.0036687217933804E+19</v>
      </c>
    </row>
    <row r="3816" spans="1:2" ht="12.9" x14ac:dyDescent="0.35">
      <c r="A3816" s="401">
        <v>43635</v>
      </c>
      <c r="B3816" s="403">
        <v>6.5193212500455703E+19</v>
      </c>
    </row>
    <row r="3817" spans="1:2" ht="12.9" x14ac:dyDescent="0.35">
      <c r="A3817" s="401">
        <v>43636</v>
      </c>
      <c r="B3817" s="403">
        <v>5.30385457630826E+19</v>
      </c>
    </row>
    <row r="3818" spans="1:2" ht="12.9" x14ac:dyDescent="0.35">
      <c r="A3818" s="401">
        <v>43637</v>
      </c>
      <c r="B3818" s="403">
        <v>4.89869901839582E+19</v>
      </c>
    </row>
    <row r="3819" spans="1:2" ht="12.9" x14ac:dyDescent="0.35">
      <c r="A3819" s="401">
        <v>43638</v>
      </c>
      <c r="B3819" s="403">
        <v>5.1933576059685102E+19</v>
      </c>
    </row>
    <row r="3820" spans="1:2" ht="12.9" x14ac:dyDescent="0.35">
      <c r="A3820" s="401">
        <v>43639</v>
      </c>
      <c r="B3820" s="403">
        <v>6.66665054383191E+19</v>
      </c>
    </row>
    <row r="3821" spans="1:2" ht="12.9" x14ac:dyDescent="0.35">
      <c r="A3821" s="401">
        <v>43640</v>
      </c>
      <c r="B3821" s="403">
        <v>6.5193212500455703E+19</v>
      </c>
    </row>
    <row r="3822" spans="1:2" ht="12.9" x14ac:dyDescent="0.35">
      <c r="A3822" s="401">
        <v>43641</v>
      </c>
      <c r="B3822" s="403">
        <v>5.3775192232014299E+19</v>
      </c>
    </row>
    <row r="3823" spans="1:2" ht="12.9" x14ac:dyDescent="0.35">
      <c r="A3823" s="401">
        <v>43642</v>
      </c>
      <c r="B3823" s="403">
        <v>6.0773333686865502E+19</v>
      </c>
    </row>
    <row r="3824" spans="1:2" ht="12.9" x14ac:dyDescent="0.35">
      <c r="A3824" s="401">
        <v>43643</v>
      </c>
      <c r="B3824" s="403">
        <v>5.6010016168590598E+19</v>
      </c>
    </row>
    <row r="3825" spans="1:2" ht="12.9" x14ac:dyDescent="0.35">
      <c r="A3825" s="401">
        <v>43644</v>
      </c>
      <c r="B3825" s="403">
        <v>6.4293187573804704E+19</v>
      </c>
    </row>
    <row r="3826" spans="1:2" ht="12.9" x14ac:dyDescent="0.35">
      <c r="A3826" s="401">
        <v>43645</v>
      </c>
      <c r="B3826" s="403">
        <v>6.8631991643202503E+19</v>
      </c>
    </row>
    <row r="3827" spans="1:2" ht="12.9" x14ac:dyDescent="0.35">
      <c r="A3827" s="401">
        <v>43646</v>
      </c>
      <c r="B3827" s="403">
        <v>5.9954383504406798E+19</v>
      </c>
    </row>
    <row r="3828" spans="1:2" ht="12.9" x14ac:dyDescent="0.35">
      <c r="A3828" s="401">
        <v>43647</v>
      </c>
      <c r="B3828" s="403">
        <v>5.6404452902172197E+19</v>
      </c>
    </row>
    <row r="3829" spans="1:2" ht="12.9" x14ac:dyDescent="0.35">
      <c r="A3829" s="401">
        <v>43648</v>
      </c>
      <c r="B3829" s="403">
        <v>6.2321003905896604E+19</v>
      </c>
    </row>
    <row r="3830" spans="1:2" ht="12.9" x14ac:dyDescent="0.35">
      <c r="A3830" s="401">
        <v>43649</v>
      </c>
      <c r="B3830" s="403">
        <v>6.7843118176039297E+19</v>
      </c>
    </row>
    <row r="3831" spans="1:2" ht="12.9" x14ac:dyDescent="0.35">
      <c r="A3831" s="401">
        <v>43650</v>
      </c>
      <c r="B3831" s="403">
        <v>6.5870934508131197E+19</v>
      </c>
    </row>
    <row r="3832" spans="1:2" ht="12.9" x14ac:dyDescent="0.35">
      <c r="A3832" s="401">
        <v>43651</v>
      </c>
      <c r="B3832" s="403">
        <v>7.4548542646926901E+19</v>
      </c>
    </row>
    <row r="3833" spans="1:2" ht="12.9" x14ac:dyDescent="0.35">
      <c r="A3833" s="401">
        <v>43652</v>
      </c>
      <c r="B3833" s="403">
        <v>7.0209738577529004E+19</v>
      </c>
    </row>
    <row r="3834" spans="1:2" ht="12.9" x14ac:dyDescent="0.35">
      <c r="A3834" s="401">
        <v>43653</v>
      </c>
      <c r="B3834" s="403">
        <v>6.0348820237988397E+19</v>
      </c>
    </row>
    <row r="3835" spans="1:2" ht="12.9" x14ac:dyDescent="0.35">
      <c r="A3835" s="401">
        <v>43654</v>
      </c>
      <c r="B3835" s="403">
        <v>7.0209738577529004E+19</v>
      </c>
    </row>
    <row r="3836" spans="1:2" ht="12.9" x14ac:dyDescent="0.35">
      <c r="A3836" s="401">
        <v>43655</v>
      </c>
      <c r="B3836" s="403">
        <v>6.9389601656905499E+19</v>
      </c>
    </row>
    <row r="3837" spans="1:2" ht="12.9" x14ac:dyDescent="0.35">
      <c r="A3837" s="401">
        <v>43656</v>
      </c>
      <c r="B3837" s="403">
        <v>5.8125055933381804E+19</v>
      </c>
    </row>
    <row r="3838" spans="1:2" ht="12.9" x14ac:dyDescent="0.35">
      <c r="A3838" s="401">
        <v>43657</v>
      </c>
      <c r="B3838" s="403">
        <v>5.8125055933381804E+19</v>
      </c>
    </row>
    <row r="3839" spans="1:2" ht="12.9" x14ac:dyDescent="0.35">
      <c r="A3839" s="401">
        <v>43658</v>
      </c>
      <c r="B3839" s="403">
        <v>7.3895419946314908E+19</v>
      </c>
    </row>
    <row r="3840" spans="1:2" ht="12.9" x14ac:dyDescent="0.35">
      <c r="A3840" s="401">
        <v>43659</v>
      </c>
      <c r="B3840" s="403">
        <v>6.3532037880673198E+19</v>
      </c>
    </row>
    <row r="3841" spans="1:2" ht="12.9" x14ac:dyDescent="0.35">
      <c r="A3841" s="401">
        <v>43660</v>
      </c>
      <c r="B3841" s="403">
        <v>6.5334365196436996E+19</v>
      </c>
    </row>
    <row r="3842" spans="1:2" ht="12.9" x14ac:dyDescent="0.35">
      <c r="A3842" s="401">
        <v>43661</v>
      </c>
      <c r="B3842" s="403">
        <v>6.5784947025377903E+19</v>
      </c>
    </row>
    <row r="3843" spans="1:2" ht="12.9" x14ac:dyDescent="0.35">
      <c r="A3843" s="401">
        <v>43662</v>
      </c>
      <c r="B3843" s="403">
        <v>7.2994256288432996E+19</v>
      </c>
    </row>
    <row r="3844" spans="1:2" ht="12.9" x14ac:dyDescent="0.35">
      <c r="A3844" s="401">
        <v>43663</v>
      </c>
      <c r="B3844" s="403">
        <v>5.9927383249145602E+19</v>
      </c>
    </row>
    <row r="3845" spans="1:2" ht="12.9" x14ac:dyDescent="0.35">
      <c r="A3845" s="401">
        <v>43664</v>
      </c>
      <c r="B3845" s="403">
        <v>5.4520401301854298E+19</v>
      </c>
    </row>
    <row r="3846" spans="1:2" ht="12.9" x14ac:dyDescent="0.35">
      <c r="A3846" s="401">
        <v>43665</v>
      </c>
      <c r="B3846" s="403">
        <v>5.3168655815031497E+19</v>
      </c>
    </row>
    <row r="3847" spans="1:2" ht="12.9" x14ac:dyDescent="0.35">
      <c r="A3847" s="401">
        <v>43666</v>
      </c>
      <c r="B3847" s="403">
        <v>7.97529837225472E+19</v>
      </c>
    </row>
    <row r="3848" spans="1:2" ht="12.9" x14ac:dyDescent="0.35">
      <c r="A3848" s="401">
        <v>43667</v>
      </c>
      <c r="B3848" s="403">
        <v>6.7136692512200704E+19</v>
      </c>
    </row>
    <row r="3849" spans="1:2" ht="12.9" x14ac:dyDescent="0.35">
      <c r="A3849" s="401">
        <v>43668</v>
      </c>
      <c r="B3849" s="403">
        <v>7.1191928972669297E+19</v>
      </c>
    </row>
    <row r="3850" spans="1:2" ht="12.9" x14ac:dyDescent="0.35">
      <c r="A3850" s="401">
        <v>43669</v>
      </c>
      <c r="B3850" s="403">
        <v>6.4075122463396504E+19</v>
      </c>
    </row>
    <row r="3851" spans="1:2" ht="12.9" x14ac:dyDescent="0.35">
      <c r="A3851" s="401">
        <v>43670</v>
      </c>
      <c r="B3851" s="403">
        <v>6.2282811345539203E+19</v>
      </c>
    </row>
    <row r="3852" spans="1:2" ht="12.9" x14ac:dyDescent="0.35">
      <c r="A3852" s="401">
        <v>43671</v>
      </c>
      <c r="B3852" s="403">
        <v>6.7211666919646601E+19</v>
      </c>
    </row>
    <row r="3853" spans="1:2" ht="12.9" x14ac:dyDescent="0.35">
      <c r="A3853" s="401">
        <v>43672</v>
      </c>
      <c r="B3853" s="403">
        <v>7.4380911391075598E+19</v>
      </c>
    </row>
    <row r="3854" spans="1:2" ht="12.9" x14ac:dyDescent="0.35">
      <c r="A3854" s="401">
        <v>43673</v>
      </c>
      <c r="B3854" s="403">
        <v>6.8107822478575297E+19</v>
      </c>
    </row>
    <row r="3855" spans="1:2" ht="12.9" x14ac:dyDescent="0.35">
      <c r="A3855" s="401">
        <v>43674</v>
      </c>
      <c r="B3855" s="403">
        <v>7.8413611406254408E+19</v>
      </c>
    </row>
    <row r="3856" spans="1:2" ht="12.9" x14ac:dyDescent="0.35">
      <c r="A3856" s="401">
        <v>43675</v>
      </c>
      <c r="B3856" s="403">
        <v>7.5277066950004294E+19</v>
      </c>
    </row>
    <row r="3857" spans="1:2" ht="12.9" x14ac:dyDescent="0.35">
      <c r="A3857" s="401">
        <v>43676</v>
      </c>
      <c r="B3857" s="403">
        <v>6.3627044683932197E+19</v>
      </c>
    </row>
    <row r="3858" spans="1:2" ht="12.9" x14ac:dyDescent="0.35">
      <c r="A3858" s="401">
        <v>43677</v>
      </c>
      <c r="B3858" s="403">
        <v>7.6621300288397197E+19</v>
      </c>
    </row>
    <row r="3859" spans="1:2" ht="12.9" x14ac:dyDescent="0.35">
      <c r="A3859" s="401">
        <v>43678</v>
      </c>
      <c r="B3859" s="403">
        <v>6.3627044683932197E+19</v>
      </c>
    </row>
    <row r="3860" spans="1:2" ht="12.9" x14ac:dyDescent="0.35">
      <c r="A3860" s="401">
        <v>43679</v>
      </c>
      <c r="B3860" s="403">
        <v>7.57251447294686E+19</v>
      </c>
    </row>
    <row r="3861" spans="1:2" ht="12.9" x14ac:dyDescent="0.35">
      <c r="A3861" s="401">
        <v>43680</v>
      </c>
      <c r="B3861" s="403">
        <v>7.7517455847325794E+19</v>
      </c>
    </row>
    <row r="3862" spans="1:2" ht="12.9" x14ac:dyDescent="0.35">
      <c r="A3862" s="401">
        <v>43681</v>
      </c>
      <c r="B3862" s="403">
        <v>7.4828989170539905E+19</v>
      </c>
    </row>
    <row r="3863" spans="1:2" ht="12.9" x14ac:dyDescent="0.35">
      <c r="A3863" s="401">
        <v>43682</v>
      </c>
      <c r="B3863" s="403">
        <v>7.0981530881164501E+19</v>
      </c>
    </row>
    <row r="3864" spans="1:2" ht="12.9" x14ac:dyDescent="0.35">
      <c r="A3864" s="401">
        <v>43683</v>
      </c>
      <c r="B3864" s="403">
        <v>7.9916269034038395E+19</v>
      </c>
    </row>
    <row r="3865" spans="1:2" ht="12.9" x14ac:dyDescent="0.35">
      <c r="A3865" s="401">
        <v>43684</v>
      </c>
      <c r="B3865" s="403">
        <v>7.5945274299427799E+19</v>
      </c>
    </row>
    <row r="3866" spans="1:2" ht="12.9" x14ac:dyDescent="0.35">
      <c r="A3866" s="401">
        <v>43685</v>
      </c>
      <c r="B3866" s="403">
        <v>7.0485156539338203E+19</v>
      </c>
    </row>
    <row r="3867" spans="1:2" ht="12.9" x14ac:dyDescent="0.35">
      <c r="A3867" s="401">
        <v>43686</v>
      </c>
      <c r="B3867" s="403">
        <v>7.2967028248469799E+19</v>
      </c>
    </row>
    <row r="3868" spans="1:2" ht="12.9" x14ac:dyDescent="0.35">
      <c r="A3868" s="401">
        <v>43687</v>
      </c>
      <c r="B3868" s="403">
        <v>7.4952525615775105E+19</v>
      </c>
    </row>
    <row r="3869" spans="1:2" ht="12.9" x14ac:dyDescent="0.35">
      <c r="A3869" s="401">
        <v>43688</v>
      </c>
      <c r="B3869" s="403">
        <v>7.5945274299427799E+19</v>
      </c>
    </row>
    <row r="3870" spans="1:2" ht="12.9" x14ac:dyDescent="0.35">
      <c r="A3870" s="401">
        <v>43689</v>
      </c>
      <c r="B3870" s="403">
        <v>6.6017787462901301E+19</v>
      </c>
    </row>
    <row r="3871" spans="1:2" ht="12.9" x14ac:dyDescent="0.35">
      <c r="A3871" s="401">
        <v>43690</v>
      </c>
      <c r="B3871" s="403">
        <v>7.7930771666733105E+19</v>
      </c>
    </row>
    <row r="3872" spans="1:2" ht="12.9" x14ac:dyDescent="0.35">
      <c r="A3872" s="401">
        <v>43691</v>
      </c>
      <c r="B3872" s="403">
        <v>7.5448899957601403E+19</v>
      </c>
    </row>
    <row r="3873" spans="1:2" ht="12.9" x14ac:dyDescent="0.35">
      <c r="A3873" s="401">
        <v>43692</v>
      </c>
      <c r="B3873" s="403">
        <v>7.7930771666733105E+19</v>
      </c>
    </row>
    <row r="3874" spans="1:2" ht="12.9" x14ac:dyDescent="0.35">
      <c r="A3874" s="401">
        <v>43693</v>
      </c>
      <c r="B3874" s="403">
        <v>7.2967028248469799E+19</v>
      </c>
    </row>
    <row r="3875" spans="1:2" ht="12.9" x14ac:dyDescent="0.35">
      <c r="A3875" s="401">
        <v>43694</v>
      </c>
      <c r="B3875" s="403">
        <v>6.3535915753769599E+19</v>
      </c>
    </row>
    <row r="3876" spans="1:2" ht="12.9" x14ac:dyDescent="0.35">
      <c r="A3876" s="401">
        <v>43695</v>
      </c>
      <c r="B3876" s="403">
        <v>6.2543167070117003E+19</v>
      </c>
    </row>
    <row r="3877" spans="1:2" ht="12.9" x14ac:dyDescent="0.35">
      <c r="A3877" s="401">
        <v>43696</v>
      </c>
      <c r="B3877" s="403">
        <v>8.2514504790375694E+19</v>
      </c>
    </row>
    <row r="3878" spans="1:2" ht="12.9" x14ac:dyDescent="0.35">
      <c r="A3878" s="401">
        <v>43697</v>
      </c>
      <c r="B3878" s="403">
        <v>7.7452265232683893E+19</v>
      </c>
    </row>
    <row r="3879" spans="1:2" ht="12.9" x14ac:dyDescent="0.35">
      <c r="A3879" s="401">
        <v>43698</v>
      </c>
      <c r="B3879" s="403">
        <v>6.8846457984607904E+19</v>
      </c>
    </row>
    <row r="3880" spans="1:2" ht="12.9" x14ac:dyDescent="0.35">
      <c r="A3880" s="401">
        <v>43699</v>
      </c>
      <c r="B3880" s="403">
        <v>7.1377577763453796E+19</v>
      </c>
    </row>
    <row r="3881" spans="1:2" ht="12.9" x14ac:dyDescent="0.35">
      <c r="A3881" s="401">
        <v>43700</v>
      </c>
      <c r="B3881" s="403">
        <v>7.7452265232683893E+19</v>
      </c>
    </row>
    <row r="3882" spans="1:2" ht="12.9" x14ac:dyDescent="0.35">
      <c r="A3882" s="401">
        <v>43701</v>
      </c>
      <c r="B3882" s="403">
        <v>8.0995832923068203E+19</v>
      </c>
    </row>
    <row r="3883" spans="1:2" ht="12.9" x14ac:dyDescent="0.35">
      <c r="A3883" s="401">
        <v>43702</v>
      </c>
      <c r="B3883" s="403">
        <v>7.8464713144222302E+19</v>
      </c>
    </row>
    <row r="3884" spans="1:2" ht="12.9" x14ac:dyDescent="0.35">
      <c r="A3884" s="401">
        <v>43703</v>
      </c>
      <c r="B3884" s="403">
        <v>6.93526819403771E+19</v>
      </c>
    </row>
    <row r="3885" spans="1:2" ht="12.9" x14ac:dyDescent="0.35">
      <c r="A3885" s="401">
        <v>43704</v>
      </c>
      <c r="B3885" s="403">
        <v>6.8340234028838797E+19</v>
      </c>
    </row>
    <row r="3886" spans="1:2" ht="12.9" x14ac:dyDescent="0.35">
      <c r="A3886" s="401">
        <v>43705</v>
      </c>
      <c r="B3886" s="403">
        <v>7.6439817321145598E+19</v>
      </c>
    </row>
    <row r="3887" spans="1:2" ht="12.9" x14ac:dyDescent="0.35">
      <c r="A3887" s="401">
        <v>43706</v>
      </c>
      <c r="B3887" s="403">
        <v>8.3526952701914104E+19</v>
      </c>
    </row>
    <row r="3888" spans="1:2" ht="12.9" x14ac:dyDescent="0.35">
      <c r="A3888" s="401">
        <v>43707</v>
      </c>
      <c r="B3888" s="403">
        <v>8.0995832923068203E+19</v>
      </c>
    </row>
    <row r="3889" spans="1:2" ht="12.9" x14ac:dyDescent="0.35">
      <c r="A3889" s="401">
        <v>43708</v>
      </c>
      <c r="B3889" s="403">
        <v>8.4033176657683202E+19</v>
      </c>
    </row>
    <row r="3890" spans="1:2" ht="12.9" x14ac:dyDescent="0.35">
      <c r="A3890" s="401">
        <v>43709</v>
      </c>
      <c r="B3890" s="403">
        <v>7.6573476779946295E+19</v>
      </c>
    </row>
    <row r="3891" spans="1:2" ht="12.9" x14ac:dyDescent="0.35">
      <c r="A3891" s="401">
        <v>43710</v>
      </c>
      <c r="B3891" s="403">
        <v>7.9786349931552506E+19</v>
      </c>
    </row>
    <row r="3892" spans="1:2" ht="12.9" x14ac:dyDescent="0.35">
      <c r="A3892" s="401">
        <v>43711</v>
      </c>
      <c r="B3892" s="403">
        <v>8.7818532810567795E+19</v>
      </c>
    </row>
    <row r="3893" spans="1:2" ht="12.9" x14ac:dyDescent="0.35">
      <c r="A3893" s="401">
        <v>43712</v>
      </c>
      <c r="B3893" s="403">
        <v>7.2825124769739203E+19</v>
      </c>
    </row>
    <row r="3894" spans="1:2" ht="12.9" x14ac:dyDescent="0.35">
      <c r="A3894" s="401">
        <v>43713</v>
      </c>
      <c r="B3894" s="403">
        <v>8.83540116691688E+19</v>
      </c>
    </row>
    <row r="3895" spans="1:2" ht="12.9" x14ac:dyDescent="0.35">
      <c r="A3895" s="401">
        <v>43714</v>
      </c>
      <c r="B3895" s="403">
        <v>8.4605659658961699E+19</v>
      </c>
    </row>
    <row r="3896" spans="1:2" ht="12.9" x14ac:dyDescent="0.35">
      <c r="A3896" s="401">
        <v>43715</v>
      </c>
      <c r="B3896" s="403">
        <v>8.0321828790153495E+19</v>
      </c>
    </row>
    <row r="3897" spans="1:2" ht="12.9" x14ac:dyDescent="0.35">
      <c r="A3897" s="401">
        <v>43716</v>
      </c>
      <c r="B3897" s="403">
        <v>9.4779757972381106E+19</v>
      </c>
    </row>
    <row r="3898" spans="1:2" ht="12.9" x14ac:dyDescent="0.35">
      <c r="A3898" s="401">
        <v>43717</v>
      </c>
      <c r="B3898" s="403">
        <v>7.8179913355749392E+19</v>
      </c>
    </row>
    <row r="3899" spans="1:2" ht="12.9" x14ac:dyDescent="0.35">
      <c r="A3899" s="401">
        <v>43718</v>
      </c>
      <c r="B3899" s="403">
        <v>9.7457152265386197E+19</v>
      </c>
    </row>
    <row r="3900" spans="1:2" ht="12.9" x14ac:dyDescent="0.35">
      <c r="A3900" s="401">
        <v>43719</v>
      </c>
      <c r="B3900" s="403">
        <v>9.8528109982588305E+19</v>
      </c>
    </row>
    <row r="3901" spans="1:2" ht="12.9" x14ac:dyDescent="0.35">
      <c r="A3901" s="401">
        <v>43720</v>
      </c>
      <c r="B3901" s="403">
        <v>8.4605659658961699E+19</v>
      </c>
    </row>
    <row r="3902" spans="1:2" ht="12.9" x14ac:dyDescent="0.35">
      <c r="A3902" s="401">
        <v>43721</v>
      </c>
      <c r="B3902" s="403">
        <v>8.0321828790153495E+19</v>
      </c>
    </row>
    <row r="3903" spans="1:2" ht="12.9" x14ac:dyDescent="0.35">
      <c r="A3903" s="401">
        <v>43722</v>
      </c>
      <c r="B3903" s="403">
        <v>9.1618125626059997E+19</v>
      </c>
    </row>
    <row r="3904" spans="1:2" ht="12.9" x14ac:dyDescent="0.35">
      <c r="A3904" s="401">
        <v>43723</v>
      </c>
      <c r="B3904" s="403">
        <v>8.6889448174392394E+19</v>
      </c>
    </row>
    <row r="3905" spans="1:2" ht="12.9" x14ac:dyDescent="0.35">
      <c r="A3905" s="401">
        <v>43724</v>
      </c>
      <c r="B3905" s="403">
        <v>9.6346803077727601E+19</v>
      </c>
    </row>
    <row r="3906" spans="1:2" ht="12.9" x14ac:dyDescent="0.35">
      <c r="A3906" s="401">
        <v>43725</v>
      </c>
      <c r="B3906" s="403">
        <v>8.7480532855850893E+19</v>
      </c>
    </row>
    <row r="3907" spans="1:2" ht="12.9" x14ac:dyDescent="0.35">
      <c r="A3907" s="401">
        <v>43726</v>
      </c>
      <c r="B3907" s="403">
        <v>1.0284873457377E+20</v>
      </c>
    </row>
    <row r="3908" spans="1:2" ht="12.9" x14ac:dyDescent="0.35">
      <c r="A3908" s="401">
        <v>43727</v>
      </c>
      <c r="B3908" s="403">
        <v>8.7480532855850893E+19</v>
      </c>
    </row>
    <row r="3909" spans="1:2" ht="12.9" x14ac:dyDescent="0.35">
      <c r="A3909" s="401">
        <v>43728</v>
      </c>
      <c r="B3909" s="403">
        <v>8.9253786900226195E+19</v>
      </c>
    </row>
    <row r="3910" spans="1:2" ht="12.9" x14ac:dyDescent="0.35">
      <c r="A3910" s="401">
        <v>43729</v>
      </c>
      <c r="B3910" s="403">
        <v>9.8120057122103001E+19</v>
      </c>
    </row>
    <row r="3911" spans="1:2" ht="12.9" x14ac:dyDescent="0.35">
      <c r="A3911" s="401">
        <v>43730</v>
      </c>
      <c r="B3911" s="403">
        <v>9.8120057122103001E+19</v>
      </c>
    </row>
    <row r="3912" spans="1:2" ht="12.9" x14ac:dyDescent="0.35">
      <c r="A3912" s="401">
        <v>43731</v>
      </c>
      <c r="B3912" s="403">
        <v>6.7383653686263497E+19</v>
      </c>
    </row>
    <row r="3913" spans="1:2" ht="12.9" x14ac:dyDescent="0.35">
      <c r="A3913" s="401">
        <v>43732</v>
      </c>
      <c r="B3913" s="403">
        <v>9.2800294988976898E+19</v>
      </c>
    </row>
    <row r="3914" spans="1:2" ht="12.9" x14ac:dyDescent="0.35">
      <c r="A3914" s="401">
        <v>43733</v>
      </c>
      <c r="B3914" s="403">
        <v>9.2209210307518497E+19</v>
      </c>
    </row>
    <row r="3915" spans="1:2" ht="12.9" x14ac:dyDescent="0.35">
      <c r="A3915" s="401">
        <v>43734</v>
      </c>
      <c r="B3915" s="403">
        <v>1.0107548052939501E+20</v>
      </c>
    </row>
    <row r="3916" spans="1:2" ht="12.9" x14ac:dyDescent="0.35">
      <c r="A3916" s="401">
        <v>43735</v>
      </c>
      <c r="B3916" s="403">
        <v>8.3726816318447403E+19</v>
      </c>
    </row>
    <row r="3917" spans="1:2" ht="12.9" x14ac:dyDescent="0.35">
      <c r="A3917" s="401">
        <v>43736</v>
      </c>
      <c r="B3917" s="403">
        <v>1.00852756019948E+20</v>
      </c>
    </row>
    <row r="3918" spans="1:2" ht="12.9" x14ac:dyDescent="0.35">
      <c r="A3918" s="401">
        <v>43737</v>
      </c>
      <c r="B3918" s="403">
        <v>8.6263992570521502E+19</v>
      </c>
    </row>
    <row r="3919" spans="1:2" ht="12.9" x14ac:dyDescent="0.35">
      <c r="A3919" s="401">
        <v>43738</v>
      </c>
      <c r="B3919" s="403">
        <v>8.2458228192410305E+19</v>
      </c>
    </row>
    <row r="3920" spans="1:2" ht="12.9" x14ac:dyDescent="0.35">
      <c r="A3920" s="401">
        <v>43739</v>
      </c>
      <c r="B3920" s="403">
        <v>9.0704051011651305E+19</v>
      </c>
    </row>
    <row r="3921" spans="1:2" ht="12.9" x14ac:dyDescent="0.35">
      <c r="A3921" s="401">
        <v>43740</v>
      </c>
      <c r="B3921" s="403">
        <v>9.3875521326743994E+19</v>
      </c>
    </row>
    <row r="3922" spans="1:2" ht="12.9" x14ac:dyDescent="0.35">
      <c r="A3922" s="401">
        <v>43741</v>
      </c>
      <c r="B3922" s="403">
        <v>9.3241227263725502E+19</v>
      </c>
    </row>
    <row r="3923" spans="1:2" ht="12.9" x14ac:dyDescent="0.35">
      <c r="A3923" s="401">
        <v>43742</v>
      </c>
      <c r="B3923" s="403">
        <v>9.3241227263725502E+19</v>
      </c>
    </row>
    <row r="3924" spans="1:2" ht="12.9" x14ac:dyDescent="0.35">
      <c r="A3924" s="401">
        <v>43743</v>
      </c>
      <c r="B3924" s="403">
        <v>1.00218461956929E+20</v>
      </c>
    </row>
    <row r="3925" spans="1:2" ht="12.9" x14ac:dyDescent="0.35">
      <c r="A3925" s="401">
        <v>43744</v>
      </c>
      <c r="B3925" s="403">
        <v>9.4509815389762601E+19</v>
      </c>
    </row>
    <row r="3926" spans="1:2" ht="12.9" x14ac:dyDescent="0.35">
      <c r="A3926" s="401">
        <v>43745</v>
      </c>
      <c r="B3926" s="403">
        <v>9.8315579767873798E+19</v>
      </c>
    </row>
    <row r="3927" spans="1:2" ht="12.9" x14ac:dyDescent="0.35">
      <c r="A3927" s="401">
        <v>43746</v>
      </c>
      <c r="B3927" s="403">
        <v>1.02755638209003E+20</v>
      </c>
    </row>
    <row r="3928" spans="1:2" ht="12.9" x14ac:dyDescent="0.35">
      <c r="A3928" s="401">
        <v>43747</v>
      </c>
      <c r="B3928" s="403">
        <v>8.75325806965586E+19</v>
      </c>
    </row>
    <row r="3929" spans="1:2" ht="12.9" x14ac:dyDescent="0.35">
      <c r="A3929" s="401">
        <v>43748</v>
      </c>
      <c r="B3929" s="403">
        <v>1.02755638209003E+20</v>
      </c>
    </row>
    <row r="3930" spans="1:2" ht="12.9" x14ac:dyDescent="0.35">
      <c r="A3930" s="401">
        <v>43749</v>
      </c>
      <c r="B3930" s="403">
        <v>1.0087517608460901E+20</v>
      </c>
    </row>
    <row r="3931" spans="1:2" ht="12.9" x14ac:dyDescent="0.35">
      <c r="A3931" s="401">
        <v>43750</v>
      </c>
      <c r="B3931" s="403">
        <v>8.6002553969570808E+19</v>
      </c>
    </row>
    <row r="3932" spans="1:2" ht="12.9" x14ac:dyDescent="0.35">
      <c r="A3932" s="401">
        <v>43751</v>
      </c>
      <c r="B3932" s="403">
        <v>9.1822275666759795E+19</v>
      </c>
    </row>
    <row r="3933" spans="1:2" ht="12.9" x14ac:dyDescent="0.35">
      <c r="A3933" s="401">
        <v>43752</v>
      </c>
      <c r="B3933" s="403">
        <v>8.7295825457835E+19</v>
      </c>
    </row>
    <row r="3934" spans="1:2" ht="12.9" x14ac:dyDescent="0.35">
      <c r="A3934" s="401">
        <v>43753</v>
      </c>
      <c r="B3934" s="403">
        <v>9.8935268852213006E+19</v>
      </c>
    </row>
    <row r="3935" spans="1:2" ht="12.9" x14ac:dyDescent="0.35">
      <c r="A3935" s="401">
        <v>43754</v>
      </c>
      <c r="B3935" s="403">
        <v>9.2468911410891899E+19</v>
      </c>
    </row>
    <row r="3936" spans="1:2" ht="12.9" x14ac:dyDescent="0.35">
      <c r="A3936" s="401">
        <v>43755</v>
      </c>
      <c r="B3936" s="403">
        <v>9.6995361619816694E+19</v>
      </c>
    </row>
    <row r="3937" spans="1:2" ht="12.9" x14ac:dyDescent="0.35">
      <c r="A3937" s="401">
        <v>43756</v>
      </c>
      <c r="B3937" s="403">
        <v>1.03461719061137E+20</v>
      </c>
    </row>
    <row r="3938" spans="1:2" ht="12.9" x14ac:dyDescent="0.35">
      <c r="A3938" s="401">
        <v>43757</v>
      </c>
      <c r="B3938" s="403">
        <v>9.1822275666759795E+19</v>
      </c>
    </row>
    <row r="3939" spans="1:2" ht="12.9" x14ac:dyDescent="0.35">
      <c r="A3939" s="401">
        <v>43758</v>
      </c>
      <c r="B3939" s="403">
        <v>9.4408818643288195E+19</v>
      </c>
    </row>
    <row r="3940" spans="1:2" ht="12.9" x14ac:dyDescent="0.35">
      <c r="A3940" s="401">
        <v>43759</v>
      </c>
      <c r="B3940" s="403">
        <v>1.0281508331700499E+20</v>
      </c>
    </row>
    <row r="3941" spans="1:2" ht="12.9" x14ac:dyDescent="0.35">
      <c r="A3941" s="401">
        <v>43760</v>
      </c>
      <c r="B3941" s="403">
        <v>1.09281440758326E+20</v>
      </c>
    </row>
    <row r="3942" spans="1:2" ht="12.9" x14ac:dyDescent="0.35">
      <c r="A3942" s="401">
        <v>43761</v>
      </c>
      <c r="B3942" s="403">
        <v>1.08634805014194E+20</v>
      </c>
    </row>
    <row r="3943" spans="1:2" ht="12.9" x14ac:dyDescent="0.35">
      <c r="A3943" s="401">
        <v>43762</v>
      </c>
      <c r="B3943" s="403">
        <v>9.0520752858841596E+19</v>
      </c>
    </row>
    <row r="3944" spans="1:2" ht="12.9" x14ac:dyDescent="0.35">
      <c r="A3944" s="401">
        <v>43763</v>
      </c>
      <c r="B3944" s="403">
        <v>9.3923788680602599E+19</v>
      </c>
    </row>
    <row r="3945" spans="1:2" ht="12.9" x14ac:dyDescent="0.35">
      <c r="A3945" s="401">
        <v>43764</v>
      </c>
      <c r="B3945" s="403">
        <v>9.5285003009307001E+19</v>
      </c>
    </row>
    <row r="3946" spans="1:2" ht="12.9" x14ac:dyDescent="0.35">
      <c r="A3946" s="401">
        <v>43765</v>
      </c>
      <c r="B3946" s="403">
        <v>7.8269823900502196E+19</v>
      </c>
    </row>
    <row r="3947" spans="1:2" ht="12.9" x14ac:dyDescent="0.35">
      <c r="A3947" s="401">
        <v>43766</v>
      </c>
      <c r="B3947" s="403">
        <v>9.1201360023193797E+19</v>
      </c>
    </row>
    <row r="3948" spans="1:2" ht="12.9" x14ac:dyDescent="0.35">
      <c r="A3948" s="401">
        <v>43767</v>
      </c>
      <c r="B3948" s="403">
        <v>9.0520752858841596E+19</v>
      </c>
    </row>
    <row r="3949" spans="1:2" ht="12.9" x14ac:dyDescent="0.35">
      <c r="A3949" s="401">
        <v>43768</v>
      </c>
      <c r="B3949" s="403">
        <v>9.1201360023193797E+19</v>
      </c>
    </row>
    <row r="3950" spans="1:2" ht="12.9" x14ac:dyDescent="0.35">
      <c r="A3950" s="401">
        <v>43769</v>
      </c>
      <c r="B3950" s="403">
        <v>8.9840145694489395E+19</v>
      </c>
    </row>
    <row r="3951" spans="1:2" ht="12.9" x14ac:dyDescent="0.35">
      <c r="A3951" s="401">
        <v>43770</v>
      </c>
      <c r="B3951" s="403">
        <v>8.8478931365785092E+19</v>
      </c>
    </row>
    <row r="3952" spans="1:2" ht="12.9" x14ac:dyDescent="0.35">
      <c r="A3952" s="401">
        <v>43771</v>
      </c>
      <c r="B3952" s="403">
        <v>9.1201360023193797E+19</v>
      </c>
    </row>
    <row r="3953" spans="1:2" ht="12.9" x14ac:dyDescent="0.35">
      <c r="A3953" s="401">
        <v>43772</v>
      </c>
      <c r="B3953" s="403">
        <v>9.3923788680602599E+19</v>
      </c>
    </row>
    <row r="3954" spans="1:2" ht="12.9" x14ac:dyDescent="0.35">
      <c r="A3954" s="401">
        <v>43773</v>
      </c>
      <c r="B3954" s="403">
        <v>8.9840145694489395E+19</v>
      </c>
    </row>
    <row r="3955" spans="1:2" ht="12.9" x14ac:dyDescent="0.35">
      <c r="A3955" s="401">
        <v>43774</v>
      </c>
      <c r="B3955" s="403">
        <v>9.8007431666715705E+19</v>
      </c>
    </row>
    <row r="3956" spans="1:2" ht="12.9" x14ac:dyDescent="0.35">
      <c r="A3956" s="401">
        <v>43775</v>
      </c>
      <c r="B3956" s="403">
        <v>8.9840145694489395E+19</v>
      </c>
    </row>
    <row r="3957" spans="1:2" ht="12.9" x14ac:dyDescent="0.35">
      <c r="A3957" s="401">
        <v>43776</v>
      </c>
      <c r="B3957" s="403">
        <v>9.1881967187545997E+19</v>
      </c>
    </row>
    <row r="3958" spans="1:2" ht="12.9" x14ac:dyDescent="0.35">
      <c r="A3958" s="401">
        <v>43777</v>
      </c>
      <c r="B3958" s="403">
        <v>8.0936306116133208E+19</v>
      </c>
    </row>
    <row r="3959" spans="1:2" ht="12.9" x14ac:dyDescent="0.35">
      <c r="A3959" s="401">
        <v>43778</v>
      </c>
      <c r="B3959" s="403">
        <v>9.1053344380649898E+19</v>
      </c>
    </row>
    <row r="3960" spans="1:2" ht="12.9" x14ac:dyDescent="0.35">
      <c r="A3960" s="401">
        <v>43779</v>
      </c>
      <c r="B3960" s="403">
        <v>1.0496427199436E+20</v>
      </c>
    </row>
    <row r="3961" spans="1:2" ht="12.9" x14ac:dyDescent="0.35">
      <c r="A3961" s="401">
        <v>43780</v>
      </c>
      <c r="B3961" s="403">
        <v>9.5479548621375996E+19</v>
      </c>
    </row>
    <row r="3962" spans="1:2" ht="12.9" x14ac:dyDescent="0.35">
      <c r="A3962" s="401">
        <v>43781</v>
      </c>
      <c r="B3962" s="403">
        <v>8.5362510356859306E+19</v>
      </c>
    </row>
    <row r="3963" spans="1:2" ht="12.9" x14ac:dyDescent="0.35">
      <c r="A3963" s="401">
        <v>43782</v>
      </c>
      <c r="B3963" s="403">
        <v>8.5362510356859306E+19</v>
      </c>
    </row>
    <row r="3964" spans="1:2" ht="12.9" x14ac:dyDescent="0.35">
      <c r="A3964" s="401">
        <v>43783</v>
      </c>
      <c r="B3964" s="403">
        <v>1.06861216668957E+20</v>
      </c>
    </row>
    <row r="3965" spans="1:2" ht="12.9" x14ac:dyDescent="0.35">
      <c r="A3965" s="401">
        <v>43784</v>
      </c>
      <c r="B3965" s="403">
        <v>9.9905752862101996E+19</v>
      </c>
    </row>
    <row r="3966" spans="1:2" ht="12.9" x14ac:dyDescent="0.35">
      <c r="A3966" s="401">
        <v>43785</v>
      </c>
      <c r="B3966" s="403">
        <v>9.3582603946779099E+19</v>
      </c>
    </row>
    <row r="3967" spans="1:2" ht="12.9" x14ac:dyDescent="0.35">
      <c r="A3967" s="401">
        <v>43786</v>
      </c>
      <c r="B3967" s="403">
        <v>9.7376493295972794E+19</v>
      </c>
    </row>
    <row r="3968" spans="1:2" ht="12.9" x14ac:dyDescent="0.35">
      <c r="A3968" s="401">
        <v>43787</v>
      </c>
      <c r="B3968" s="403">
        <v>8.8524084814520795E+19</v>
      </c>
    </row>
    <row r="3969" spans="1:2" ht="12.9" x14ac:dyDescent="0.35">
      <c r="A3969" s="401">
        <v>43788</v>
      </c>
      <c r="B3969" s="403">
        <v>9.2950289055246795E+19</v>
      </c>
    </row>
    <row r="3970" spans="1:2" ht="12.9" x14ac:dyDescent="0.35">
      <c r="A3970" s="401">
        <v>43789</v>
      </c>
      <c r="B3970" s="403">
        <v>8.9788714597585306E+19</v>
      </c>
    </row>
    <row r="3971" spans="1:2" ht="12.9" x14ac:dyDescent="0.35">
      <c r="A3971" s="401">
        <v>43790</v>
      </c>
      <c r="B3971" s="403">
        <v>8.6627140139923898E+19</v>
      </c>
    </row>
    <row r="3972" spans="1:2" ht="12.9" x14ac:dyDescent="0.35">
      <c r="A3972" s="401">
        <v>43791</v>
      </c>
      <c r="B3972" s="403">
        <v>8.5127203653075698E+19</v>
      </c>
    </row>
    <row r="3973" spans="1:2" ht="12.9" x14ac:dyDescent="0.35">
      <c r="A3973" s="401">
        <v>43792</v>
      </c>
      <c r="B3973" s="403">
        <v>1.11568229030167E+20</v>
      </c>
    </row>
    <row r="3974" spans="1:2" ht="12.9" x14ac:dyDescent="0.35">
      <c r="A3974" s="401">
        <v>43793</v>
      </c>
      <c r="B3974" s="403">
        <v>8.4482300595097797E+19</v>
      </c>
    </row>
    <row r="3975" spans="1:2" ht="12.9" x14ac:dyDescent="0.35">
      <c r="A3975" s="401">
        <v>43794</v>
      </c>
      <c r="B3975" s="403">
        <v>8.06128822472308E+19</v>
      </c>
    </row>
    <row r="3976" spans="1:2" ht="12.9" x14ac:dyDescent="0.35">
      <c r="A3976" s="401">
        <v>43795</v>
      </c>
      <c r="B3976" s="403">
        <v>7.8678173073297195E+19</v>
      </c>
    </row>
    <row r="3977" spans="1:2" ht="12.9" x14ac:dyDescent="0.35">
      <c r="A3977" s="401">
        <v>43796</v>
      </c>
      <c r="B3977" s="403">
        <v>8.9641525058920595E+19</v>
      </c>
    </row>
    <row r="3978" spans="1:2" ht="12.9" x14ac:dyDescent="0.35">
      <c r="A3978" s="401">
        <v>43797</v>
      </c>
      <c r="B3978" s="403">
        <v>1.0511919845038799E+20</v>
      </c>
    </row>
    <row r="3979" spans="1:2" ht="12.9" x14ac:dyDescent="0.35">
      <c r="A3979" s="401">
        <v>43798</v>
      </c>
      <c r="B3979" s="403">
        <v>8.7706815884987105E+19</v>
      </c>
    </row>
    <row r="3980" spans="1:2" ht="12.9" x14ac:dyDescent="0.35">
      <c r="A3980" s="401">
        <v>43799</v>
      </c>
      <c r="B3980" s="403">
        <v>8.1257785305208603E+19</v>
      </c>
    </row>
    <row r="3981" spans="1:2" ht="12.9" x14ac:dyDescent="0.35">
      <c r="A3981" s="401">
        <v>43800</v>
      </c>
      <c r="B3981" s="403">
        <v>8.9641525058920595E+19</v>
      </c>
    </row>
    <row r="3982" spans="1:2" ht="12.9" x14ac:dyDescent="0.35">
      <c r="A3982" s="401">
        <v>43801</v>
      </c>
      <c r="B3982" s="403">
        <v>9.3510943406787707E+19</v>
      </c>
    </row>
    <row r="3983" spans="1:2" ht="12.9" x14ac:dyDescent="0.35">
      <c r="A3983" s="401">
        <v>43802</v>
      </c>
      <c r="B3983" s="403">
        <v>1.01894683160499E+20</v>
      </c>
    </row>
    <row r="3984" spans="1:2" ht="12.9" x14ac:dyDescent="0.35">
      <c r="A3984" s="401">
        <v>43803</v>
      </c>
      <c r="B3984" s="403">
        <v>1.0769881068230001E+20</v>
      </c>
    </row>
    <row r="3985" spans="1:2" ht="12.9" x14ac:dyDescent="0.35">
      <c r="A3985" s="401">
        <v>43804</v>
      </c>
      <c r="B3985" s="403">
        <v>9.3510943406787707E+19</v>
      </c>
    </row>
    <row r="3986" spans="1:2" ht="12.9" x14ac:dyDescent="0.35">
      <c r="A3986" s="401">
        <v>43805</v>
      </c>
      <c r="B3986" s="403">
        <v>9.2816137377160495E+19</v>
      </c>
    </row>
    <row r="3987" spans="1:2" ht="12.9" x14ac:dyDescent="0.35">
      <c r="A3987" s="401">
        <v>43806</v>
      </c>
      <c r="B3987" s="403">
        <v>9.9217250299723301E+19</v>
      </c>
    </row>
    <row r="3988" spans="1:2" ht="12.9" x14ac:dyDescent="0.35">
      <c r="A3988" s="401">
        <v>43807</v>
      </c>
      <c r="B3988" s="403">
        <v>9.4736471253929296E+19</v>
      </c>
    </row>
    <row r="3989" spans="1:2" ht="12.9" x14ac:dyDescent="0.35">
      <c r="A3989" s="401">
        <v>43808</v>
      </c>
      <c r="B3989" s="403">
        <v>9.4736471253929296E+19</v>
      </c>
    </row>
    <row r="3990" spans="1:2" ht="12.9" x14ac:dyDescent="0.35">
      <c r="A3990" s="401">
        <v>43809</v>
      </c>
      <c r="B3990" s="403">
        <v>9.4736471253929296E+19</v>
      </c>
    </row>
    <row r="3991" spans="1:2" ht="12.9" x14ac:dyDescent="0.35">
      <c r="A3991" s="401">
        <v>43810</v>
      </c>
      <c r="B3991" s="403">
        <v>8.4494690577828905E+19</v>
      </c>
    </row>
    <row r="3992" spans="1:2" ht="12.9" x14ac:dyDescent="0.35">
      <c r="A3992" s="401">
        <v>43811</v>
      </c>
      <c r="B3992" s="403">
        <v>8.5134801870085095E+19</v>
      </c>
    </row>
    <row r="3993" spans="1:2" ht="12.9" x14ac:dyDescent="0.35">
      <c r="A3993" s="401">
        <v>43812</v>
      </c>
      <c r="B3993" s="403">
        <v>9.7296916422954402E+19</v>
      </c>
    </row>
    <row r="3994" spans="1:2" ht="12.9" x14ac:dyDescent="0.35">
      <c r="A3994" s="401">
        <v>43813</v>
      </c>
      <c r="B3994" s="403">
        <v>9.6656805130698195E+19</v>
      </c>
    </row>
    <row r="3995" spans="1:2" ht="12.9" x14ac:dyDescent="0.35">
      <c r="A3995" s="401">
        <v>43814</v>
      </c>
      <c r="B3995" s="403">
        <v>7.9373800239778595E+19</v>
      </c>
    </row>
    <row r="3996" spans="1:2" ht="12.9" x14ac:dyDescent="0.35">
      <c r="A3996" s="401">
        <v>43815</v>
      </c>
      <c r="B3996" s="403">
        <v>1.0049747288423499E+20</v>
      </c>
    </row>
    <row r="3997" spans="1:2" ht="12.9" x14ac:dyDescent="0.35">
      <c r="A3997" s="401">
        <v>43816</v>
      </c>
      <c r="B3997" s="403">
        <v>9.0255692208135406E+19</v>
      </c>
    </row>
    <row r="3998" spans="1:2" ht="12.9" x14ac:dyDescent="0.35">
      <c r="A3998" s="401">
        <v>43817</v>
      </c>
      <c r="B3998" s="403">
        <v>8.5774913162341401E+19</v>
      </c>
    </row>
    <row r="3999" spans="1:2" ht="12.9" x14ac:dyDescent="0.35">
      <c r="A3999" s="401">
        <v>43818</v>
      </c>
      <c r="B3999" s="403">
        <v>1.0049747288423499E+20</v>
      </c>
    </row>
    <row r="4000" spans="1:2" ht="12.9" x14ac:dyDescent="0.35">
      <c r="A4000" s="401">
        <v>43819</v>
      </c>
      <c r="B4000" s="403">
        <v>1.00413778963632E+20</v>
      </c>
    </row>
    <row r="4001" spans="1:2" ht="12.9" x14ac:dyDescent="0.35">
      <c r="A4001" s="401">
        <v>43820</v>
      </c>
      <c r="B4001" s="403">
        <v>1.1328734036922501E+20</v>
      </c>
    </row>
    <row r="4002" spans="1:2" ht="12.9" x14ac:dyDescent="0.35">
      <c r="A4002" s="401">
        <v>43821</v>
      </c>
      <c r="B4002" s="403">
        <v>1.08781593877268E+20</v>
      </c>
    </row>
    <row r="4003" spans="1:2" ht="12.9" x14ac:dyDescent="0.35">
      <c r="A4003" s="401">
        <v>43822</v>
      </c>
      <c r="B4003" s="403">
        <v>9.2045964049996005E+19</v>
      </c>
    </row>
    <row r="4004" spans="1:2" ht="12.9" x14ac:dyDescent="0.35">
      <c r="A4004" s="401">
        <v>43823</v>
      </c>
      <c r="B4004" s="403">
        <v>8.0459758784961593E+19</v>
      </c>
    </row>
    <row r="4005" spans="1:2" ht="12.9" x14ac:dyDescent="0.35">
      <c r="A4005" s="401">
        <v>43824</v>
      </c>
      <c r="B4005" s="403">
        <v>8.2390792995800695E+19</v>
      </c>
    </row>
    <row r="4006" spans="1:2" ht="12.9" x14ac:dyDescent="0.35">
      <c r="A4006" s="401">
        <v>43825</v>
      </c>
      <c r="B4006" s="403">
        <v>1.07494237736708E+20</v>
      </c>
    </row>
    <row r="4007" spans="1:2" ht="12.9" x14ac:dyDescent="0.35">
      <c r="A4007" s="401">
        <v>43826</v>
      </c>
      <c r="B4007" s="403">
        <v>9.3333320190555406E+19</v>
      </c>
    </row>
    <row r="4008" spans="1:2" ht="12.9" x14ac:dyDescent="0.35">
      <c r="A4008" s="401">
        <v>43827</v>
      </c>
      <c r="B4008" s="403">
        <v>9.5908032471674192E+19</v>
      </c>
    </row>
    <row r="4009" spans="1:2" ht="12.9" x14ac:dyDescent="0.35">
      <c r="A4009" s="401">
        <v>43828</v>
      </c>
      <c r="B4009" s="403">
        <v>9.9770100893352395E+19</v>
      </c>
    </row>
    <row r="4010" spans="1:2" ht="12.9" x14ac:dyDescent="0.35">
      <c r="A4010" s="401">
        <v>43829</v>
      </c>
      <c r="B4010" s="403">
        <v>1.06850559666429E+20</v>
      </c>
    </row>
    <row r="4011" spans="1:2" ht="12.9" x14ac:dyDescent="0.35">
      <c r="A4011" s="401">
        <v>43830</v>
      </c>
      <c r="B4011" s="403">
        <v>9.3333320190555406E+19</v>
      </c>
    </row>
    <row r="4012" spans="1:2" ht="12.9" x14ac:dyDescent="0.35">
      <c r="A4012" s="401">
        <v>43831</v>
      </c>
      <c r="B4012" s="403">
        <v>1.11999984228666E+20</v>
      </c>
    </row>
    <row r="4013" spans="1:2" ht="12.9" x14ac:dyDescent="0.35">
      <c r="A4013" s="401">
        <v>43832</v>
      </c>
      <c r="B4013" s="403">
        <v>9.6717718312380695E+19</v>
      </c>
    </row>
    <row r="4014" spans="1:2" ht="12.9" x14ac:dyDescent="0.35">
      <c r="A4014" s="401">
        <v>43833</v>
      </c>
      <c r="B4014" s="403">
        <v>1.1592407372193101E+20</v>
      </c>
    </row>
    <row r="4015" spans="1:2" ht="12.9" x14ac:dyDescent="0.35">
      <c r="A4015" s="401">
        <v>43834</v>
      </c>
      <c r="B4015" s="403">
        <v>1.15238132457304E+20</v>
      </c>
    </row>
    <row r="4016" spans="1:2" ht="12.9" x14ac:dyDescent="0.35">
      <c r="A4016" s="401">
        <v>43835</v>
      </c>
      <c r="B4016" s="403">
        <v>1.1180842613416999E+20</v>
      </c>
    </row>
    <row r="4017" spans="1:2" ht="12.9" x14ac:dyDescent="0.35">
      <c r="A4017" s="401">
        <v>43836</v>
      </c>
      <c r="B4017" s="403">
        <v>9.2602070724619895E+19</v>
      </c>
    </row>
    <row r="4018" spans="1:2" ht="12.9" x14ac:dyDescent="0.35">
      <c r="A4018" s="401">
        <v>43837</v>
      </c>
      <c r="B4018" s="403">
        <v>1.2072566257431899E+20</v>
      </c>
    </row>
    <row r="4019" spans="1:2" ht="12.9" x14ac:dyDescent="0.35">
      <c r="A4019" s="401">
        <v>43838</v>
      </c>
      <c r="B4019" s="403">
        <v>9.7403659577007505E+19</v>
      </c>
    </row>
    <row r="4020" spans="1:2" ht="12.9" x14ac:dyDescent="0.35">
      <c r="A4020" s="401">
        <v>43839</v>
      </c>
      <c r="B4020" s="403">
        <v>1.07692778546409E+20</v>
      </c>
    </row>
    <row r="4021" spans="1:2" ht="12.9" x14ac:dyDescent="0.35">
      <c r="A4021" s="401">
        <v>43840</v>
      </c>
      <c r="B4021" s="403">
        <v>1.02205248429395E+20</v>
      </c>
    </row>
    <row r="4022" spans="1:2" ht="12.9" x14ac:dyDescent="0.35">
      <c r="A4022" s="401">
        <v>43841</v>
      </c>
      <c r="B4022" s="403">
        <v>1.1180842613416999E+20</v>
      </c>
    </row>
    <row r="4023" spans="1:2" ht="12.9" x14ac:dyDescent="0.35">
      <c r="A4023" s="401">
        <v>43842</v>
      </c>
      <c r="B4023" s="403">
        <v>1.03577130958648E+20</v>
      </c>
    </row>
    <row r="4024" spans="1:2" ht="12.9" x14ac:dyDescent="0.35">
      <c r="A4024" s="401">
        <v>43843</v>
      </c>
      <c r="B4024" s="403">
        <v>9.8089600841634398E+19</v>
      </c>
    </row>
    <row r="4025" spans="1:2" ht="12.9" x14ac:dyDescent="0.35">
      <c r="A4025" s="401">
        <v>43844</v>
      </c>
      <c r="B4025" s="403">
        <v>9.9461483370888004E+19</v>
      </c>
    </row>
    <row r="4026" spans="1:2" ht="12.9" x14ac:dyDescent="0.35">
      <c r="A4026" s="401">
        <v>43845</v>
      </c>
      <c r="B4026" s="403">
        <v>1.1091511936618299E+20</v>
      </c>
    </row>
    <row r="4027" spans="1:2" ht="12.9" x14ac:dyDescent="0.35">
      <c r="A4027" s="401">
        <v>43846</v>
      </c>
      <c r="B4027" s="403">
        <v>1.16791417080948E+20</v>
      </c>
    </row>
    <row r="4028" spans="1:2" ht="12.9" x14ac:dyDescent="0.35">
      <c r="A4028" s="401">
        <v>43847</v>
      </c>
      <c r="B4028" s="403">
        <v>1.16791417080948E+20</v>
      </c>
    </row>
    <row r="4029" spans="1:2" ht="12.9" x14ac:dyDescent="0.35">
      <c r="A4029" s="401">
        <v>43848</v>
      </c>
      <c r="B4029" s="403">
        <v>9.6958912293617598E+19</v>
      </c>
    </row>
    <row r="4030" spans="1:2" ht="12.9" x14ac:dyDescent="0.35">
      <c r="A4030" s="401">
        <v>43849</v>
      </c>
      <c r="B4030" s="403">
        <v>1.1018058215183801E+20</v>
      </c>
    </row>
    <row r="4031" spans="1:2" ht="12.9" x14ac:dyDescent="0.35">
      <c r="A4031" s="401">
        <v>43850</v>
      </c>
      <c r="B4031" s="403">
        <v>1.11649656580529E+20</v>
      </c>
    </row>
    <row r="4032" spans="1:2" ht="12.9" x14ac:dyDescent="0.35">
      <c r="A4032" s="401">
        <v>43851</v>
      </c>
      <c r="B4032" s="403">
        <v>1.12384193794875E+20</v>
      </c>
    </row>
    <row r="4033" spans="1:2" ht="12.9" x14ac:dyDescent="0.35">
      <c r="A4033" s="401">
        <v>43852</v>
      </c>
      <c r="B4033" s="403">
        <v>1.1458780543791101E+20</v>
      </c>
    </row>
    <row r="4034" spans="1:2" ht="12.9" x14ac:dyDescent="0.35">
      <c r="A4034" s="401">
        <v>43853</v>
      </c>
      <c r="B4034" s="403">
        <v>1.16791417080948E+20</v>
      </c>
    </row>
    <row r="4035" spans="1:2" ht="12.9" x14ac:dyDescent="0.35">
      <c r="A4035" s="401">
        <v>43854</v>
      </c>
      <c r="B4035" s="403">
        <v>1.11649656580529E+20</v>
      </c>
    </row>
    <row r="4036" spans="1:2" ht="12.9" x14ac:dyDescent="0.35">
      <c r="A4036" s="401">
        <v>43855</v>
      </c>
      <c r="B4036" s="403">
        <v>1.20464103152676E+20</v>
      </c>
    </row>
    <row r="4037" spans="1:2" ht="12.9" x14ac:dyDescent="0.35">
      <c r="A4037" s="401">
        <v>43856</v>
      </c>
      <c r="B4037" s="403">
        <v>1.05038821651419E+20</v>
      </c>
    </row>
    <row r="4038" spans="1:2" ht="12.9" x14ac:dyDescent="0.35">
      <c r="A4038" s="401">
        <v>43857</v>
      </c>
      <c r="B4038" s="403">
        <v>9.4755300650580804E+19</v>
      </c>
    </row>
    <row r="4039" spans="1:2" ht="12.9" x14ac:dyDescent="0.35">
      <c r="A4039" s="401">
        <v>43858</v>
      </c>
      <c r="B4039" s="403">
        <v>1.0917300064510199E+20</v>
      </c>
    </row>
    <row r="4040" spans="1:2" ht="12.9" x14ac:dyDescent="0.35">
      <c r="A4040" s="401">
        <v>43859</v>
      </c>
      <c r="B4040" s="403">
        <v>1.23011831712791E+20</v>
      </c>
    </row>
    <row r="4041" spans="1:2" ht="12.9" x14ac:dyDescent="0.35">
      <c r="A4041" s="401">
        <v>43860</v>
      </c>
      <c r="B4041" s="403">
        <v>1.1993653591997201E+20</v>
      </c>
    </row>
    <row r="4042" spans="1:2" ht="12.9" x14ac:dyDescent="0.35">
      <c r="A4042" s="401">
        <v>43861</v>
      </c>
      <c r="B4042" s="403">
        <v>1.1071064854151201E+20</v>
      </c>
    </row>
    <row r="4043" spans="1:2" ht="12.9" x14ac:dyDescent="0.35">
      <c r="A4043" s="401">
        <v>43862</v>
      </c>
      <c r="B4043" s="403">
        <v>1.16092416178947E+20</v>
      </c>
    </row>
    <row r="4044" spans="1:2" ht="12.9" x14ac:dyDescent="0.35">
      <c r="A4044" s="401">
        <v>43863</v>
      </c>
      <c r="B4044" s="403">
        <v>1.0994182459330699E+20</v>
      </c>
    </row>
    <row r="4045" spans="1:2" ht="12.9" x14ac:dyDescent="0.35">
      <c r="A4045" s="401">
        <v>43864</v>
      </c>
      <c r="B4045" s="403">
        <v>1.13785944334332E+20</v>
      </c>
    </row>
    <row r="4046" spans="1:2" ht="12.9" x14ac:dyDescent="0.35">
      <c r="A4046" s="401">
        <v>43865</v>
      </c>
      <c r="B4046" s="403">
        <v>1.0148476116305301E+20</v>
      </c>
    </row>
    <row r="4047" spans="1:2" ht="12.9" x14ac:dyDescent="0.35">
      <c r="A4047" s="401">
        <v>43866</v>
      </c>
      <c r="B4047" s="403">
        <v>1.22243007764586E+20</v>
      </c>
    </row>
    <row r="4048" spans="1:2" ht="12.9" x14ac:dyDescent="0.35">
      <c r="A4048" s="401">
        <v>43867</v>
      </c>
      <c r="B4048" s="403">
        <v>1.03791233007668E+20</v>
      </c>
    </row>
    <row r="4049" spans="1:2" ht="12.9" x14ac:dyDescent="0.35">
      <c r="A4049" s="401">
        <v>43868</v>
      </c>
      <c r="B4049" s="403">
        <v>1.06866528800487E+20</v>
      </c>
    </row>
    <row r="4050" spans="1:2" ht="12.9" x14ac:dyDescent="0.35">
      <c r="A4050" s="401">
        <v>43869</v>
      </c>
      <c r="B4050" s="403">
        <v>1.06866528800487E+20</v>
      </c>
    </row>
    <row r="4051" spans="1:2" ht="12.9" x14ac:dyDescent="0.35">
      <c r="A4051" s="401">
        <v>43870</v>
      </c>
      <c r="B4051" s="403">
        <v>1.17630064075357E+20</v>
      </c>
    </row>
    <row r="4052" spans="1:2" ht="12.9" x14ac:dyDescent="0.35">
      <c r="A4052" s="401">
        <v>43871</v>
      </c>
      <c r="B4052" s="403">
        <v>9.3796521681003807E+19</v>
      </c>
    </row>
    <row r="4053" spans="1:2" ht="12.9" x14ac:dyDescent="0.35">
      <c r="A4053" s="401">
        <v>43872</v>
      </c>
      <c r="B4053" s="403">
        <v>1.1437927273242899E+20</v>
      </c>
    </row>
    <row r="4054" spans="1:2" ht="12.9" x14ac:dyDescent="0.35">
      <c r="A4054" s="401">
        <v>43873</v>
      </c>
      <c r="B4054" s="403">
        <v>1.09742275189223E+20</v>
      </c>
    </row>
    <row r="4055" spans="1:2" ht="12.9" x14ac:dyDescent="0.35">
      <c r="A4055" s="401">
        <v>43874</v>
      </c>
      <c r="B4055" s="403">
        <v>1.0896944226535499E+20</v>
      </c>
    </row>
    <row r="4056" spans="1:2" ht="12.9" x14ac:dyDescent="0.35">
      <c r="A4056" s="401">
        <v>43875</v>
      </c>
      <c r="B4056" s="403">
        <v>1.04332444722148E+20</v>
      </c>
    </row>
    <row r="4057" spans="1:2" ht="12.9" x14ac:dyDescent="0.35">
      <c r="A4057" s="401">
        <v>43876</v>
      </c>
      <c r="B4057" s="403">
        <v>1.09742275189223E+20</v>
      </c>
    </row>
    <row r="4058" spans="1:2" ht="12.9" x14ac:dyDescent="0.35">
      <c r="A4058" s="401">
        <v>43877</v>
      </c>
      <c r="B4058" s="403">
        <v>1.09742275189223E+20</v>
      </c>
    </row>
    <row r="4059" spans="1:2" ht="12.9" x14ac:dyDescent="0.35">
      <c r="A4059" s="401">
        <v>43878</v>
      </c>
      <c r="B4059" s="403">
        <v>1.21334769047239E+20</v>
      </c>
    </row>
    <row r="4060" spans="1:2" ht="12.9" x14ac:dyDescent="0.35">
      <c r="A4060" s="401">
        <v>43879</v>
      </c>
      <c r="B4060" s="403">
        <v>1.15924938580165E+20</v>
      </c>
    </row>
    <row r="4061" spans="1:2" ht="12.9" x14ac:dyDescent="0.35">
      <c r="A4061" s="401">
        <v>43880</v>
      </c>
      <c r="B4061" s="403">
        <v>1.0896944226535499E+20</v>
      </c>
    </row>
    <row r="4062" spans="1:2" ht="12.9" x14ac:dyDescent="0.35">
      <c r="A4062" s="401">
        <v>43881</v>
      </c>
      <c r="B4062" s="403">
        <v>9.7376948407338697E+19</v>
      </c>
    </row>
    <row r="4063" spans="1:2" ht="12.9" x14ac:dyDescent="0.35">
      <c r="A4063" s="401">
        <v>43882</v>
      </c>
      <c r="B4063" s="403">
        <v>1.19016270275636E+20</v>
      </c>
    </row>
    <row r="4064" spans="1:2" ht="12.9" x14ac:dyDescent="0.35">
      <c r="A4064" s="401">
        <v>43883</v>
      </c>
      <c r="B4064" s="403">
        <v>1.1437927273242899E+20</v>
      </c>
    </row>
    <row r="4065" spans="1:2" ht="12.9" x14ac:dyDescent="0.35">
      <c r="A4065" s="401">
        <v>43884</v>
      </c>
      <c r="B4065" s="403">
        <v>1.09742275189223E+20</v>
      </c>
    </row>
    <row r="4066" spans="1:2" ht="12.9" x14ac:dyDescent="0.35">
      <c r="A4066" s="401">
        <v>43885</v>
      </c>
      <c r="B4066" s="403">
        <v>1.0896944226535499E+20</v>
      </c>
    </row>
    <row r="4067" spans="1:2" ht="12.9" x14ac:dyDescent="0.35">
      <c r="A4067" s="401">
        <v>43886</v>
      </c>
      <c r="B4067" s="403">
        <v>1.1085964457006699E+20</v>
      </c>
    </row>
    <row r="4068" spans="1:2" ht="12.9" x14ac:dyDescent="0.35">
      <c r="A4068" s="401">
        <v>43887</v>
      </c>
      <c r="B4068" s="403">
        <v>1.0470077542728601E+20</v>
      </c>
    </row>
    <row r="4069" spans="1:2" ht="12.9" x14ac:dyDescent="0.35">
      <c r="A4069" s="401">
        <v>43888</v>
      </c>
      <c r="B4069" s="403">
        <v>1.1316922049861E+20</v>
      </c>
    </row>
    <row r="4070" spans="1:2" ht="12.9" x14ac:dyDescent="0.35">
      <c r="A4070" s="401">
        <v>43889</v>
      </c>
      <c r="B4070" s="403">
        <v>1.21637665569935E+20</v>
      </c>
    </row>
    <row r="4071" spans="1:2" ht="12.9" x14ac:dyDescent="0.35">
      <c r="A4071" s="401">
        <v>43890</v>
      </c>
      <c r="B4071" s="403">
        <v>1.0701035135582899E+20</v>
      </c>
    </row>
    <row r="4072" spans="1:2" ht="12.9" x14ac:dyDescent="0.35">
      <c r="A4072" s="401">
        <v>43891</v>
      </c>
      <c r="B4072" s="403">
        <v>1.3626497978404101E+20</v>
      </c>
    </row>
    <row r="4073" spans="1:2" ht="12.9" x14ac:dyDescent="0.35">
      <c r="A4073" s="401">
        <v>43892</v>
      </c>
      <c r="B4073" s="403">
        <v>1.1470893778430601E+20</v>
      </c>
    </row>
    <row r="4074" spans="1:2" ht="12.9" x14ac:dyDescent="0.35">
      <c r="A4074" s="401">
        <v>43893</v>
      </c>
      <c r="B4074" s="403">
        <v>1.17788372355697E+20</v>
      </c>
    </row>
    <row r="4075" spans="1:2" ht="12.9" x14ac:dyDescent="0.35">
      <c r="A4075" s="401">
        <v>43894</v>
      </c>
      <c r="B4075" s="403">
        <v>1.2856639335556401E+20</v>
      </c>
    </row>
    <row r="4076" spans="1:2" ht="12.9" x14ac:dyDescent="0.35">
      <c r="A4076" s="401">
        <v>43895</v>
      </c>
      <c r="B4076" s="403">
        <v>1.25486958784174E+20</v>
      </c>
    </row>
    <row r="4077" spans="1:2" ht="12.9" x14ac:dyDescent="0.35">
      <c r="A4077" s="401">
        <v>43896</v>
      </c>
      <c r="B4077" s="403">
        <v>1.19328089641392E+20</v>
      </c>
    </row>
    <row r="4078" spans="1:2" ht="12.9" x14ac:dyDescent="0.35">
      <c r="A4078" s="401">
        <v>43897</v>
      </c>
      <c r="B4078" s="403">
        <v>1.2086780692708699E+20</v>
      </c>
    </row>
    <row r="4079" spans="1:2" ht="12.9" x14ac:dyDescent="0.35">
      <c r="A4079" s="401">
        <v>43898</v>
      </c>
      <c r="B4079" s="403">
        <v>1.21637665569935E+20</v>
      </c>
    </row>
    <row r="4080" spans="1:2" ht="12.9" x14ac:dyDescent="0.35">
      <c r="A4080" s="401">
        <v>43899</v>
      </c>
      <c r="B4080" s="403">
        <v>1.2342754703626301E+20</v>
      </c>
    </row>
    <row r="4081" spans="1:2" ht="12.9" x14ac:dyDescent="0.35">
      <c r="A4081" s="401">
        <v>43900</v>
      </c>
      <c r="B4081" s="403">
        <v>1.0861624139191199E+20</v>
      </c>
    </row>
    <row r="4082" spans="1:2" ht="12.9" x14ac:dyDescent="0.35">
      <c r="A4082" s="401">
        <v>43901</v>
      </c>
      <c r="B4082" s="403">
        <v>9.7919187315435897E+19</v>
      </c>
    </row>
    <row r="4083" spans="1:2" ht="12.9" x14ac:dyDescent="0.35">
      <c r="A4083" s="401">
        <v>43902</v>
      </c>
      <c r="B4083" s="403">
        <v>1.24250397349838E+20</v>
      </c>
    </row>
    <row r="4084" spans="1:2" ht="12.9" x14ac:dyDescent="0.35">
      <c r="A4084" s="401">
        <v>43903</v>
      </c>
      <c r="B4084" s="403">
        <v>1.02856289196886E+20</v>
      </c>
    </row>
    <row r="4085" spans="1:2" ht="12.9" x14ac:dyDescent="0.35">
      <c r="A4085" s="401">
        <v>43904</v>
      </c>
      <c r="B4085" s="403">
        <v>1.05324840137611E+20</v>
      </c>
    </row>
    <row r="4086" spans="1:2" ht="12.9" x14ac:dyDescent="0.35">
      <c r="A4086" s="401">
        <v>43905</v>
      </c>
      <c r="B4086" s="403">
        <v>9.7919187315435897E+19</v>
      </c>
    </row>
    <row r="4087" spans="1:2" ht="12.9" x14ac:dyDescent="0.35">
      <c r="A4087" s="401">
        <v>43906</v>
      </c>
      <c r="B4087" s="403">
        <v>9.7919187315435897E+19</v>
      </c>
    </row>
    <row r="4088" spans="1:2" ht="12.9" x14ac:dyDescent="0.35">
      <c r="A4088" s="401">
        <v>43907</v>
      </c>
      <c r="B4088" s="403">
        <v>1.01210588569736E+20</v>
      </c>
    </row>
    <row r="4089" spans="1:2" ht="12.9" x14ac:dyDescent="0.35">
      <c r="A4089" s="401">
        <v>43908</v>
      </c>
      <c r="B4089" s="403">
        <v>8.2285031357509206E+19</v>
      </c>
    </row>
    <row r="4090" spans="1:2" ht="12.9" x14ac:dyDescent="0.35">
      <c r="A4090" s="401">
        <v>43909</v>
      </c>
      <c r="B4090" s="403">
        <v>8.8044983552534807E+19</v>
      </c>
    </row>
    <row r="4091" spans="1:2" ht="12.9" x14ac:dyDescent="0.35">
      <c r="A4091" s="401">
        <v>43910</v>
      </c>
      <c r="B4091" s="403">
        <v>8.9690684179684999E+19</v>
      </c>
    </row>
    <row r="4092" spans="1:2" ht="12.9" x14ac:dyDescent="0.35">
      <c r="A4092" s="401">
        <v>43911</v>
      </c>
      <c r="B4092" s="403">
        <v>1.0203343888331099E+20</v>
      </c>
    </row>
    <row r="4093" spans="1:2" ht="12.9" x14ac:dyDescent="0.35">
      <c r="A4093" s="401">
        <v>43912</v>
      </c>
      <c r="B4093" s="403">
        <v>1.04501989824036E+20</v>
      </c>
    </row>
    <row r="4094" spans="1:2" ht="12.9" x14ac:dyDescent="0.35">
      <c r="A4094" s="401">
        <v>43913</v>
      </c>
      <c r="B4094" s="403">
        <v>9.2159235120410296E+19</v>
      </c>
    </row>
    <row r="4095" spans="1:2" ht="12.9" x14ac:dyDescent="0.35">
      <c r="A4095" s="401">
        <v>43914</v>
      </c>
      <c r="B4095" s="403">
        <v>1.0861624139191199E+20</v>
      </c>
    </row>
    <row r="4096" spans="1:2" ht="12.9" x14ac:dyDescent="0.35">
      <c r="A4096" s="401">
        <v>43915</v>
      </c>
      <c r="B4096" s="403">
        <v>7.5702228848908403E+19</v>
      </c>
    </row>
    <row r="4097" spans="1:2" ht="12.9" x14ac:dyDescent="0.35">
      <c r="A4097" s="401">
        <v>43916</v>
      </c>
      <c r="B4097" s="403">
        <v>1.1065525147228901E+20</v>
      </c>
    </row>
    <row r="4098" spans="1:2" ht="12.9" x14ac:dyDescent="0.35">
      <c r="A4098" s="401">
        <v>43917</v>
      </c>
      <c r="B4098" s="403">
        <v>1.0719727486378E+20</v>
      </c>
    </row>
    <row r="4099" spans="1:2" ht="12.9" x14ac:dyDescent="0.35">
      <c r="A4099" s="401">
        <v>43918</v>
      </c>
      <c r="B4099" s="403">
        <v>9.3365368429743997E+19</v>
      </c>
    </row>
    <row r="4100" spans="1:2" ht="12.9" x14ac:dyDescent="0.35">
      <c r="A4100" s="401">
        <v>43919</v>
      </c>
      <c r="B4100" s="403">
        <v>1.0443089357697199E+20</v>
      </c>
    </row>
    <row r="4101" spans="1:2" ht="12.9" x14ac:dyDescent="0.35">
      <c r="A4101" s="401">
        <v>43920</v>
      </c>
      <c r="B4101" s="403">
        <v>1.01664512290165E+20</v>
      </c>
    </row>
    <row r="4102" spans="1:2" ht="12.9" x14ac:dyDescent="0.35">
      <c r="A4102" s="401">
        <v>43921</v>
      </c>
      <c r="B4102" s="403">
        <v>1.09963656150587E+20</v>
      </c>
    </row>
    <row r="4103" spans="1:2" ht="12.9" x14ac:dyDescent="0.35">
      <c r="A4103" s="401">
        <v>43922</v>
      </c>
      <c r="B4103" s="403">
        <v>1.0581408422037601E+20</v>
      </c>
    </row>
    <row r="4104" spans="1:2" ht="12.9" x14ac:dyDescent="0.35">
      <c r="A4104" s="401">
        <v>43923</v>
      </c>
      <c r="B4104" s="403">
        <v>1.0581408422037601E+20</v>
      </c>
    </row>
    <row r="4105" spans="1:2" ht="12.9" x14ac:dyDescent="0.35">
      <c r="A4105" s="401">
        <v>43924</v>
      </c>
      <c r="B4105" s="403">
        <v>9.1290582464638599E+19</v>
      </c>
    </row>
    <row r="4106" spans="1:2" ht="12.9" x14ac:dyDescent="0.35">
      <c r="A4106" s="401">
        <v>43925</v>
      </c>
      <c r="B4106" s="403">
        <v>1.08580465507183E+20</v>
      </c>
    </row>
    <row r="4107" spans="1:2" ht="12.9" x14ac:dyDescent="0.35">
      <c r="A4107" s="401">
        <v>43926</v>
      </c>
      <c r="B4107" s="403">
        <v>1.2102918129781599E+20</v>
      </c>
    </row>
    <row r="4108" spans="1:2" ht="12.9" x14ac:dyDescent="0.35">
      <c r="A4108" s="401">
        <v>43927</v>
      </c>
      <c r="B4108" s="403">
        <v>8.8524201177831293E+19</v>
      </c>
    </row>
    <row r="4109" spans="1:2" ht="12.9" x14ac:dyDescent="0.35">
      <c r="A4109" s="401">
        <v>43928</v>
      </c>
      <c r="B4109" s="403">
        <v>1.16188014045903E+20</v>
      </c>
    </row>
    <row r="4110" spans="1:2" ht="12.9" x14ac:dyDescent="0.35">
      <c r="A4110" s="401">
        <v>43929</v>
      </c>
      <c r="B4110" s="403">
        <v>1.05335605240265E+20</v>
      </c>
    </row>
    <row r="4111" spans="1:2" ht="12.9" x14ac:dyDescent="0.35">
      <c r="A4111" s="401">
        <v>43930</v>
      </c>
      <c r="B4111" s="403">
        <v>1.12650577826394E+20</v>
      </c>
    </row>
    <row r="4112" spans="1:2" ht="12.9" x14ac:dyDescent="0.35">
      <c r="A4112" s="401">
        <v>43931</v>
      </c>
      <c r="B4112" s="403">
        <v>1.19234053153911E+20</v>
      </c>
    </row>
    <row r="4113" spans="1:2" ht="12.9" x14ac:dyDescent="0.35">
      <c r="A4113" s="401">
        <v>43932</v>
      </c>
      <c r="B4113" s="403">
        <v>1.16308064119459E+20</v>
      </c>
    </row>
    <row r="4114" spans="1:2" ht="12.9" x14ac:dyDescent="0.35">
      <c r="A4114" s="401">
        <v>43933</v>
      </c>
      <c r="B4114" s="403">
        <v>1.11919080567781E+20</v>
      </c>
    </row>
    <row r="4115" spans="1:2" ht="12.9" x14ac:dyDescent="0.35">
      <c r="A4115" s="401">
        <v>43934</v>
      </c>
      <c r="B4115" s="403">
        <v>1.25086031222815E+20</v>
      </c>
    </row>
    <row r="4116" spans="1:2" ht="12.9" x14ac:dyDescent="0.35">
      <c r="A4116" s="401">
        <v>43935</v>
      </c>
      <c r="B4116" s="403">
        <v>1.22891539446976E+20</v>
      </c>
    </row>
    <row r="4117" spans="1:2" ht="12.9" x14ac:dyDescent="0.35">
      <c r="A4117" s="401">
        <v>43936</v>
      </c>
      <c r="B4117" s="403">
        <v>1.23623036705589E+20</v>
      </c>
    </row>
    <row r="4118" spans="1:2" ht="12.9" x14ac:dyDescent="0.35">
      <c r="A4118" s="401">
        <v>43937</v>
      </c>
      <c r="B4118" s="403">
        <v>1.12650577826394E+20</v>
      </c>
    </row>
    <row r="4119" spans="1:2" ht="12.9" x14ac:dyDescent="0.35">
      <c r="A4119" s="401">
        <v>43938</v>
      </c>
      <c r="B4119" s="403">
        <v>9.2900151843844997E+19</v>
      </c>
    </row>
    <row r="4120" spans="1:2" ht="12.9" x14ac:dyDescent="0.35">
      <c r="A4120" s="401">
        <v>43939</v>
      </c>
      <c r="B4120" s="403">
        <v>1.1557656686084601E+20</v>
      </c>
    </row>
    <row r="4121" spans="1:2" ht="12.9" x14ac:dyDescent="0.35">
      <c r="A4121" s="401">
        <v>43940</v>
      </c>
      <c r="B4121" s="403">
        <v>1.11187583309168E+20</v>
      </c>
    </row>
    <row r="4122" spans="1:2" ht="12.9" x14ac:dyDescent="0.35">
      <c r="A4122" s="401">
        <v>43941</v>
      </c>
      <c r="B4122" s="403">
        <v>1.17771058636685E+20</v>
      </c>
    </row>
    <row r="4123" spans="1:2" ht="12.9" x14ac:dyDescent="0.35">
      <c r="A4123" s="401">
        <v>43942</v>
      </c>
      <c r="B4123" s="403">
        <v>1.1820302761669299E+20</v>
      </c>
    </row>
    <row r="4124" spans="1:2" ht="12.9" x14ac:dyDescent="0.35">
      <c r="A4124" s="401">
        <v>43943</v>
      </c>
      <c r="B4124" s="403">
        <v>1.0392346723346801E+20</v>
      </c>
    </row>
    <row r="4125" spans="1:2" ht="12.9" x14ac:dyDescent="0.35">
      <c r="A4125" s="401">
        <v>43944</v>
      </c>
      <c r="B4125" s="403">
        <v>1.12649865245439E+20</v>
      </c>
    </row>
    <row r="4126" spans="1:2" ht="12.9" x14ac:dyDescent="0.35">
      <c r="A4126" s="401">
        <v>43945</v>
      </c>
      <c r="B4126" s="403">
        <v>1.14236483065797E+20</v>
      </c>
    </row>
    <row r="4127" spans="1:2" ht="12.9" x14ac:dyDescent="0.35">
      <c r="A4127" s="401">
        <v>43946</v>
      </c>
      <c r="B4127" s="403">
        <v>1.07890011784364E+20</v>
      </c>
    </row>
    <row r="4128" spans="1:2" ht="12.9" x14ac:dyDescent="0.35">
      <c r="A4128" s="401">
        <v>43947</v>
      </c>
      <c r="B4128" s="403">
        <v>1.0868332069454301E+20</v>
      </c>
    </row>
    <row r="4129" spans="1:2" ht="12.9" x14ac:dyDescent="0.35">
      <c r="A4129" s="401">
        <v>43948</v>
      </c>
      <c r="B4129" s="403">
        <v>1.1185655633525999E+20</v>
      </c>
    </row>
    <row r="4130" spans="1:2" ht="12.9" x14ac:dyDescent="0.35">
      <c r="A4130" s="401">
        <v>43949</v>
      </c>
      <c r="B4130" s="403">
        <v>1.22169572167589E+20</v>
      </c>
    </row>
    <row r="4131" spans="1:2" ht="12.9" x14ac:dyDescent="0.35">
      <c r="A4131" s="401">
        <v>43950</v>
      </c>
      <c r="B4131" s="403">
        <v>1.1502979197597599E+20</v>
      </c>
    </row>
    <row r="4132" spans="1:2" ht="12.9" x14ac:dyDescent="0.35">
      <c r="A4132" s="401">
        <v>43951</v>
      </c>
      <c r="B4132" s="403">
        <v>1.0709670287418501E+20</v>
      </c>
    </row>
    <row r="4133" spans="1:2" ht="12.9" x14ac:dyDescent="0.35">
      <c r="A4133" s="401">
        <v>43952</v>
      </c>
      <c r="B4133" s="403">
        <v>1.1185655633525999E+20</v>
      </c>
    </row>
    <row r="4134" spans="1:2" ht="12.9" x14ac:dyDescent="0.35">
      <c r="A4134" s="401">
        <v>43953</v>
      </c>
      <c r="B4134" s="403">
        <v>1.17409718706514E+20</v>
      </c>
    </row>
    <row r="4135" spans="1:2" ht="12.9" x14ac:dyDescent="0.35">
      <c r="A4135" s="401">
        <v>43954</v>
      </c>
      <c r="B4135" s="403">
        <v>1.3327589691009701E+20</v>
      </c>
    </row>
    <row r="4136" spans="1:2" ht="12.9" x14ac:dyDescent="0.35">
      <c r="A4136" s="401">
        <v>43955</v>
      </c>
      <c r="B4136" s="403">
        <v>1.25342807808305E+20</v>
      </c>
    </row>
    <row r="4137" spans="1:2" ht="12.9" x14ac:dyDescent="0.35">
      <c r="A4137" s="401">
        <v>43956</v>
      </c>
      <c r="B4137" s="403">
        <v>1.2649074294535301E+20</v>
      </c>
    </row>
    <row r="4138" spans="1:2" ht="12.9" x14ac:dyDescent="0.35">
      <c r="A4138" s="401">
        <v>43957</v>
      </c>
      <c r="B4138" s="403">
        <v>1.2328844565559701E+20</v>
      </c>
    </row>
    <row r="4139" spans="1:2" ht="12.9" x14ac:dyDescent="0.35">
      <c r="A4139" s="401">
        <v>43958</v>
      </c>
      <c r="B4139" s="403">
        <v>1.17684425398524E+20</v>
      </c>
    </row>
    <row r="4140" spans="1:2" ht="12.9" x14ac:dyDescent="0.35">
      <c r="A4140" s="401">
        <v>43959</v>
      </c>
      <c r="B4140" s="403">
        <v>1.0967868217413499E+20</v>
      </c>
    </row>
    <row r="4141" spans="1:2" ht="12.9" x14ac:dyDescent="0.35">
      <c r="A4141" s="401">
        <v>43960</v>
      </c>
      <c r="B4141" s="403">
        <v>1.08878107851696E+20</v>
      </c>
    </row>
    <row r="4142" spans="1:2" ht="12.9" x14ac:dyDescent="0.35">
      <c r="A4142" s="401">
        <v>43961</v>
      </c>
      <c r="B4142" s="403">
        <v>1.3609763481461999E+20</v>
      </c>
    </row>
    <row r="4143" spans="1:2" ht="12.9" x14ac:dyDescent="0.35">
      <c r="A4143" s="401">
        <v>43962</v>
      </c>
      <c r="B4143" s="403">
        <v>1.2569016862291399E+20</v>
      </c>
    </row>
    <row r="4144" spans="1:2" ht="12.9" x14ac:dyDescent="0.35">
      <c r="A4144" s="401">
        <v>43963</v>
      </c>
      <c r="B4144" s="403">
        <v>1.1688385107608501E+20</v>
      </c>
    </row>
    <row r="4145" spans="1:2" ht="12.9" x14ac:dyDescent="0.35">
      <c r="A4145" s="401">
        <v>43964</v>
      </c>
      <c r="B4145" s="403">
        <v>9.5268344370234196E+19</v>
      </c>
    </row>
    <row r="4146" spans="1:2" ht="12.9" x14ac:dyDescent="0.35">
      <c r="A4146" s="401">
        <v>43965</v>
      </c>
      <c r="B4146" s="403">
        <v>9.1265472758039495E+19</v>
      </c>
    </row>
    <row r="4147" spans="1:2" ht="12.9" x14ac:dyDescent="0.35">
      <c r="A4147" s="401">
        <v>43966</v>
      </c>
      <c r="B4147" s="403">
        <v>1.0007179030486699E+20</v>
      </c>
    </row>
    <row r="4148" spans="1:2" ht="12.9" x14ac:dyDescent="0.35">
      <c r="A4148" s="401">
        <v>43967</v>
      </c>
      <c r="B4148" s="403">
        <v>1.00872364627306E+20</v>
      </c>
    </row>
    <row r="4149" spans="1:2" ht="12.9" x14ac:dyDescent="0.35">
      <c r="A4149" s="401">
        <v>43968</v>
      </c>
      <c r="B4149" s="403">
        <v>8.1658580888772198E+19</v>
      </c>
    </row>
    <row r="4150" spans="1:2" ht="12.9" x14ac:dyDescent="0.35">
      <c r="A4150" s="401">
        <v>43969</v>
      </c>
      <c r="B4150" s="403">
        <v>1.02473513272184E+20</v>
      </c>
    </row>
    <row r="4151" spans="1:2" ht="12.9" x14ac:dyDescent="0.35">
      <c r="A4151" s="401">
        <v>43970</v>
      </c>
      <c r="B4151" s="403">
        <v>9.2066047080478392E+19</v>
      </c>
    </row>
    <row r="4152" spans="1:2" ht="12.9" x14ac:dyDescent="0.35">
      <c r="A4152" s="401">
        <v>43971</v>
      </c>
      <c r="B4152" s="403">
        <v>8.6539364319910593E+19</v>
      </c>
    </row>
    <row r="4153" spans="1:2" ht="12.9" x14ac:dyDescent="0.35">
      <c r="A4153" s="401">
        <v>43972</v>
      </c>
      <c r="B4153" s="403">
        <v>9.8579623703550394E+19</v>
      </c>
    </row>
    <row r="4154" spans="1:2" ht="12.9" x14ac:dyDescent="0.35">
      <c r="A4154" s="401">
        <v>43973</v>
      </c>
      <c r="B4154" s="403">
        <v>8.3529299474000708E+19</v>
      </c>
    </row>
    <row r="4155" spans="1:2" ht="12.9" x14ac:dyDescent="0.35">
      <c r="A4155" s="401">
        <v>43974</v>
      </c>
      <c r="B4155" s="403">
        <v>8.9549429165820592E+19</v>
      </c>
    </row>
    <row r="4156" spans="1:2" ht="12.9" x14ac:dyDescent="0.35">
      <c r="A4156" s="401">
        <v>43975</v>
      </c>
      <c r="B4156" s="403">
        <v>8.7291880531388105E+19</v>
      </c>
    </row>
    <row r="4157" spans="1:2" ht="12.9" x14ac:dyDescent="0.35">
      <c r="A4157" s="401">
        <v>43976</v>
      </c>
      <c r="B4157" s="403">
        <v>9.4064526434685501E+19</v>
      </c>
    </row>
    <row r="4158" spans="1:2" ht="12.9" x14ac:dyDescent="0.35">
      <c r="A4158" s="401">
        <v>43977</v>
      </c>
      <c r="B4158" s="403">
        <v>9.3312010223208006E+19</v>
      </c>
    </row>
    <row r="4159" spans="1:2" ht="12.9" x14ac:dyDescent="0.35">
      <c r="A4159" s="401">
        <v>43978</v>
      </c>
      <c r="B4159" s="403">
        <v>1.03847237183892E+20</v>
      </c>
    </row>
    <row r="4160" spans="1:2" ht="12.9" x14ac:dyDescent="0.35">
      <c r="A4160" s="401">
        <v>43979</v>
      </c>
      <c r="B4160" s="403">
        <v>9.8579623703550394E+19</v>
      </c>
    </row>
    <row r="4161" spans="1:2" ht="12.9" x14ac:dyDescent="0.35">
      <c r="A4161" s="401">
        <v>43980</v>
      </c>
      <c r="B4161" s="403">
        <v>9.5569558857640395E+19</v>
      </c>
    </row>
    <row r="4162" spans="1:2" ht="12.9" x14ac:dyDescent="0.35">
      <c r="A4162" s="401">
        <v>43981</v>
      </c>
      <c r="B4162" s="403">
        <v>1.17392528990487E+20</v>
      </c>
    </row>
    <row r="4163" spans="1:2" ht="12.9" x14ac:dyDescent="0.35">
      <c r="A4163" s="401">
        <v>43982</v>
      </c>
      <c r="B4163" s="403">
        <v>1.12877431721622E+20</v>
      </c>
    </row>
    <row r="4164" spans="1:2" ht="12.9" x14ac:dyDescent="0.35">
      <c r="A4164" s="401">
        <v>43983</v>
      </c>
      <c r="B4164" s="403">
        <v>1.00837172337982E+20</v>
      </c>
    </row>
    <row r="4165" spans="1:2" ht="12.9" x14ac:dyDescent="0.35">
      <c r="A4165" s="401">
        <v>43984</v>
      </c>
      <c r="B4165" s="403">
        <v>9.7074591280595403E+19</v>
      </c>
    </row>
    <row r="4166" spans="1:2" ht="12.9" x14ac:dyDescent="0.35">
      <c r="A4166" s="401">
        <v>43985</v>
      </c>
      <c r="B4166" s="403">
        <v>1.0459975339537E+20</v>
      </c>
    </row>
    <row r="4167" spans="1:2" ht="12.9" x14ac:dyDescent="0.35">
      <c r="A4167" s="401">
        <v>43986</v>
      </c>
      <c r="B4167" s="403">
        <v>1.0307847780171601E+20</v>
      </c>
    </row>
    <row r="4168" spans="1:2" ht="12.9" x14ac:dyDescent="0.35">
      <c r="A4168" s="401">
        <v>43987</v>
      </c>
      <c r="B4168" s="403">
        <v>1.2219236772521301E+20</v>
      </c>
    </row>
    <row r="4169" spans="1:2" ht="12.9" x14ac:dyDescent="0.35">
      <c r="A4169" s="401">
        <v>43988</v>
      </c>
      <c r="B4169" s="403">
        <v>1.3379722946448001E+20</v>
      </c>
    </row>
    <row r="4170" spans="1:2" ht="12.9" x14ac:dyDescent="0.35">
      <c r="A4170" s="401">
        <v>43989</v>
      </c>
      <c r="B4170" s="403">
        <v>1.0853958920843E+20</v>
      </c>
    </row>
    <row r="4171" spans="1:2" ht="12.9" x14ac:dyDescent="0.35">
      <c r="A4171" s="401">
        <v>43990</v>
      </c>
      <c r="B4171" s="403">
        <v>1.1058750598594699E+20</v>
      </c>
    </row>
    <row r="4172" spans="1:2" ht="12.9" x14ac:dyDescent="0.35">
      <c r="A4172" s="401">
        <v>43991</v>
      </c>
      <c r="B4172" s="403">
        <v>1.0922222813426899E+20</v>
      </c>
    </row>
    <row r="4173" spans="1:2" ht="12.9" x14ac:dyDescent="0.35">
      <c r="A4173" s="401">
        <v>43992</v>
      </c>
      <c r="B4173" s="403">
        <v>1.1195278383762601E+20</v>
      </c>
    </row>
    <row r="4174" spans="1:2" ht="12.9" x14ac:dyDescent="0.35">
      <c r="A4174" s="401">
        <v>43993</v>
      </c>
      <c r="B4174" s="403">
        <v>1.26288201280249E+20</v>
      </c>
    </row>
    <row r="4175" spans="1:2" ht="12.9" x14ac:dyDescent="0.35">
      <c r="A4175" s="401">
        <v>43994</v>
      </c>
      <c r="B4175" s="403">
        <v>1.11270144911787E+20</v>
      </c>
    </row>
    <row r="4176" spans="1:2" ht="12.9" x14ac:dyDescent="0.35">
      <c r="A4176" s="401">
        <v>43995</v>
      </c>
      <c r="B4176" s="403">
        <v>1.0785695028259099E+20</v>
      </c>
    </row>
    <row r="4177" spans="1:2" ht="12.9" x14ac:dyDescent="0.35">
      <c r="A4177" s="401">
        <v>43996</v>
      </c>
      <c r="B4177" s="403">
        <v>1.16048617392661E+20</v>
      </c>
    </row>
    <row r="4178" spans="1:2" ht="12.9" x14ac:dyDescent="0.35">
      <c r="A4178" s="401">
        <v>43997</v>
      </c>
      <c r="B4178" s="403">
        <v>9.4204171765807301E+19</v>
      </c>
    </row>
    <row r="4179" spans="1:2" ht="12.9" x14ac:dyDescent="0.35">
      <c r="A4179" s="401">
        <v>43998</v>
      </c>
      <c r="B4179" s="403">
        <v>1.02395838875877E+20</v>
      </c>
    </row>
    <row r="4180" spans="1:2" ht="12.9" x14ac:dyDescent="0.35">
      <c r="A4180" s="401">
        <v>43999</v>
      </c>
      <c r="B4180" s="403">
        <v>1.08283617573485E+20</v>
      </c>
    </row>
    <row r="4181" spans="1:2" ht="12.9" x14ac:dyDescent="0.35">
      <c r="A4181" s="401">
        <v>44000</v>
      </c>
      <c r="B4181" s="403">
        <v>9.6513659141585207E+19</v>
      </c>
    </row>
    <row r="4182" spans="1:2" ht="12.9" x14ac:dyDescent="0.35">
      <c r="A4182" s="401">
        <v>44001</v>
      </c>
      <c r="B4182" s="403">
        <v>1.12206937050786E+20</v>
      </c>
    </row>
    <row r="4183" spans="1:2" ht="12.9" x14ac:dyDescent="0.35">
      <c r="A4183" s="401">
        <v>44002</v>
      </c>
      <c r="B4183" s="403">
        <v>1.07498953678025E+20</v>
      </c>
    </row>
    <row r="4184" spans="1:2" ht="12.9" x14ac:dyDescent="0.35">
      <c r="A4184" s="401">
        <v>44003</v>
      </c>
      <c r="B4184" s="403">
        <v>1.14560928737166E+20</v>
      </c>
    </row>
    <row r="4185" spans="1:2" ht="12.9" x14ac:dyDescent="0.35">
      <c r="A4185" s="401">
        <v>44004</v>
      </c>
      <c r="B4185" s="403">
        <v>1.12206937050786E+20</v>
      </c>
    </row>
    <row r="4186" spans="1:2" ht="12.9" x14ac:dyDescent="0.35">
      <c r="A4186" s="401">
        <v>44005</v>
      </c>
      <c r="B4186" s="403">
        <v>1.23976895482686E+20</v>
      </c>
    </row>
    <row r="4187" spans="1:2" ht="12.9" x14ac:dyDescent="0.35">
      <c r="A4187" s="401">
        <v>44006</v>
      </c>
      <c r="B4187" s="403">
        <v>1.0906828146894501E+20</v>
      </c>
    </row>
    <row r="4188" spans="1:2" ht="12.9" x14ac:dyDescent="0.35">
      <c r="A4188" s="401">
        <v>44007</v>
      </c>
      <c r="B4188" s="403">
        <v>1.10637609259866E+20</v>
      </c>
    </row>
    <row r="4189" spans="1:2" ht="12.9" x14ac:dyDescent="0.35">
      <c r="A4189" s="401">
        <v>44008</v>
      </c>
      <c r="B4189" s="403">
        <v>1.28684878855447E+20</v>
      </c>
    </row>
    <row r="4190" spans="1:2" ht="12.9" x14ac:dyDescent="0.35">
      <c r="A4190" s="401">
        <v>44009</v>
      </c>
      <c r="B4190" s="403">
        <v>1.08283617573485E+20</v>
      </c>
    </row>
    <row r="4191" spans="1:2" ht="12.9" x14ac:dyDescent="0.35">
      <c r="A4191" s="401">
        <v>44010</v>
      </c>
      <c r="B4191" s="403">
        <v>1.17699584319006E+20</v>
      </c>
    </row>
    <row r="4192" spans="1:2" ht="12.9" x14ac:dyDescent="0.35">
      <c r="A4192" s="401">
        <v>44011</v>
      </c>
      <c r="B4192" s="403">
        <v>1.13776264841706E+20</v>
      </c>
    </row>
    <row r="4193" spans="1:2" ht="12.9" x14ac:dyDescent="0.35">
      <c r="A4193" s="401">
        <v>44012</v>
      </c>
      <c r="B4193" s="403">
        <v>1.15345592632626E+20</v>
      </c>
    </row>
    <row r="4194" spans="1:2" ht="12.9" x14ac:dyDescent="0.35">
      <c r="A4194" s="401">
        <v>44013</v>
      </c>
      <c r="B4194" s="403">
        <v>1.2711130903923099E+20</v>
      </c>
    </row>
    <row r="4195" spans="1:2" ht="12.9" x14ac:dyDescent="0.35">
      <c r="A4195" s="401">
        <v>44014</v>
      </c>
      <c r="B4195" s="403">
        <v>1.28680584459469E+20</v>
      </c>
    </row>
    <row r="4196" spans="1:2" ht="12.9" x14ac:dyDescent="0.35">
      <c r="A4196" s="401">
        <v>44015</v>
      </c>
      <c r="B4196" s="403">
        <v>1.2789594674935E+20</v>
      </c>
    </row>
    <row r="4197" spans="1:2" ht="12.9" x14ac:dyDescent="0.35">
      <c r="A4197" s="401">
        <v>44016</v>
      </c>
      <c r="B4197" s="403">
        <v>1.2318812048863801E+20</v>
      </c>
    </row>
    <row r="4198" spans="1:2" ht="12.9" x14ac:dyDescent="0.35">
      <c r="A4198" s="401">
        <v>44017</v>
      </c>
      <c r="B4198" s="403">
        <v>1.2789594674935E+20</v>
      </c>
    </row>
    <row r="4199" spans="1:2" ht="12.9" x14ac:dyDescent="0.35">
      <c r="A4199" s="401">
        <v>44018</v>
      </c>
      <c r="B4199" s="403">
        <v>1.2083420735828201E+20</v>
      </c>
    </row>
    <row r="4200" spans="1:2" ht="12.9" x14ac:dyDescent="0.35">
      <c r="A4200" s="401">
        <v>44019</v>
      </c>
      <c r="B4200" s="403">
        <v>1.26326671329113E+20</v>
      </c>
    </row>
    <row r="4201" spans="1:2" ht="12.9" x14ac:dyDescent="0.35">
      <c r="A4201" s="401">
        <v>44020</v>
      </c>
      <c r="B4201" s="403">
        <v>1.1848029422792499E+20</v>
      </c>
    </row>
    <row r="4202" spans="1:2" ht="12.9" x14ac:dyDescent="0.35">
      <c r="A4202" s="401">
        <v>44021</v>
      </c>
      <c r="B4202" s="403">
        <v>1.28680584459469E+20</v>
      </c>
    </row>
    <row r="4203" spans="1:2" ht="12.9" x14ac:dyDescent="0.35">
      <c r="A4203" s="401">
        <v>44022</v>
      </c>
      <c r="B4203" s="403">
        <v>1.26326671329113E+20</v>
      </c>
    </row>
    <row r="4204" spans="1:2" ht="12.9" x14ac:dyDescent="0.35">
      <c r="A4204" s="401">
        <v>44023</v>
      </c>
      <c r="B4204" s="403">
        <v>1.2240348277851899E+20</v>
      </c>
    </row>
    <row r="4205" spans="1:2" ht="12.9" x14ac:dyDescent="0.35">
      <c r="A4205" s="401">
        <v>44024</v>
      </c>
      <c r="B4205" s="403">
        <v>1.19264931938044E+20</v>
      </c>
    </row>
    <row r="4206" spans="1:2" ht="12.9" x14ac:dyDescent="0.35">
      <c r="A4206" s="401">
        <v>44025</v>
      </c>
      <c r="B4206" s="403">
        <v>1.26753953928877E+20</v>
      </c>
    </row>
    <row r="4207" spans="1:2" ht="12.9" x14ac:dyDescent="0.35">
      <c r="A4207" s="401">
        <v>44026</v>
      </c>
      <c r="B4207" s="403">
        <v>1.2416713854257399E+20</v>
      </c>
    </row>
    <row r="4208" spans="1:2" ht="12.9" x14ac:dyDescent="0.35">
      <c r="A4208" s="401">
        <v>44027</v>
      </c>
      <c r="B4208" s="403">
        <v>1.18993507769967E+20</v>
      </c>
    </row>
    <row r="4209" spans="1:2" ht="12.9" x14ac:dyDescent="0.35">
      <c r="A4209" s="401">
        <v>44028</v>
      </c>
      <c r="B4209" s="403">
        <v>1.1726896417909699E+20</v>
      </c>
    </row>
    <row r="4210" spans="1:2" ht="12.9" x14ac:dyDescent="0.35">
      <c r="A4210" s="401">
        <v>44029</v>
      </c>
      <c r="B4210" s="403">
        <v>1.01748071861276E+20</v>
      </c>
    </row>
    <row r="4211" spans="1:2" ht="12.9" x14ac:dyDescent="0.35">
      <c r="A4211" s="401">
        <v>44030</v>
      </c>
      <c r="B4211" s="403">
        <v>1.1209533340649E+20</v>
      </c>
    </row>
    <row r="4212" spans="1:2" ht="12.9" x14ac:dyDescent="0.35">
      <c r="A4212" s="401">
        <v>44031</v>
      </c>
      <c r="B4212" s="403">
        <v>1.12957605201925E+20</v>
      </c>
    </row>
    <row r="4213" spans="1:2" ht="12.9" x14ac:dyDescent="0.35">
      <c r="A4213" s="401">
        <v>44032</v>
      </c>
      <c r="B4213" s="403">
        <v>1.2158032315627001E+20</v>
      </c>
    </row>
    <row r="4214" spans="1:2" ht="12.9" x14ac:dyDescent="0.35">
      <c r="A4214" s="401">
        <v>44033</v>
      </c>
      <c r="B4214" s="403">
        <v>1.0778397442931701E+20</v>
      </c>
    </row>
    <row r="4215" spans="1:2" ht="12.9" x14ac:dyDescent="0.35">
      <c r="A4215" s="401">
        <v>44034</v>
      </c>
      <c r="B4215" s="403">
        <v>1.2416713854257399E+20</v>
      </c>
    </row>
    <row r="4216" spans="1:2" ht="12.9" x14ac:dyDescent="0.35">
      <c r="A4216" s="401">
        <v>44035</v>
      </c>
      <c r="B4216" s="403">
        <v>1.1726896417909699E+20</v>
      </c>
    </row>
    <row r="4217" spans="1:2" ht="12.9" x14ac:dyDescent="0.35">
      <c r="A4217" s="401">
        <v>44036</v>
      </c>
      <c r="B4217" s="403">
        <v>1.3882575906496101E+20</v>
      </c>
    </row>
    <row r="4218" spans="1:2" ht="12.9" x14ac:dyDescent="0.35">
      <c r="A4218" s="401">
        <v>44037</v>
      </c>
      <c r="B4218" s="403">
        <v>1.22442594951705E+20</v>
      </c>
    </row>
    <row r="4219" spans="1:2" ht="12.9" x14ac:dyDescent="0.35">
      <c r="A4219" s="401">
        <v>44038</v>
      </c>
      <c r="B4219" s="403">
        <v>1.36238943678657E+20</v>
      </c>
    </row>
    <row r="4220" spans="1:2" ht="12.9" x14ac:dyDescent="0.35">
      <c r="A4220" s="401">
        <v>44039</v>
      </c>
      <c r="B4220" s="403">
        <v>1.2847849751974601E+20</v>
      </c>
    </row>
    <row r="4221" spans="1:2" ht="12.9" x14ac:dyDescent="0.35">
      <c r="A4221" s="401">
        <v>44040</v>
      </c>
      <c r="B4221" s="403">
        <v>1.21437040395234E+20</v>
      </c>
    </row>
    <row r="4222" spans="1:2" ht="12.9" x14ac:dyDescent="0.35">
      <c r="A4222" s="401">
        <v>44041</v>
      </c>
      <c r="B4222" s="403">
        <v>1.2394953088617E+20</v>
      </c>
    </row>
    <row r="4223" spans="1:2" ht="12.9" x14ac:dyDescent="0.35">
      <c r="A4223" s="401">
        <v>44042</v>
      </c>
      <c r="B4223" s="403">
        <v>1.1306207209211399E+20</v>
      </c>
    </row>
    <row r="4224" spans="1:2" ht="12.9" x14ac:dyDescent="0.35">
      <c r="A4224" s="401">
        <v>44043</v>
      </c>
      <c r="B4224" s="403">
        <v>1.2813701503773E+20</v>
      </c>
    </row>
    <row r="4225" spans="1:2" ht="12.9" x14ac:dyDescent="0.35">
      <c r="A4225" s="401">
        <v>44044</v>
      </c>
      <c r="B4225" s="403">
        <v>1.14737065752738E+20</v>
      </c>
    </row>
    <row r="4226" spans="1:2" ht="12.9" x14ac:dyDescent="0.35">
      <c r="A4226" s="401">
        <v>44045</v>
      </c>
      <c r="B4226" s="403">
        <v>1.1808705307398599E+20</v>
      </c>
    </row>
    <row r="4227" spans="1:2" ht="12.9" x14ac:dyDescent="0.35">
      <c r="A4227" s="401">
        <v>44046</v>
      </c>
      <c r="B4227" s="403">
        <v>1.35674486510537E+20</v>
      </c>
    </row>
    <row r="4228" spans="1:2" ht="12.9" x14ac:dyDescent="0.35">
      <c r="A4228" s="401">
        <v>44047</v>
      </c>
      <c r="B4228" s="403">
        <v>1.21437040395234E+20</v>
      </c>
    </row>
    <row r="4229" spans="1:2" ht="12.9" x14ac:dyDescent="0.35">
      <c r="A4229" s="401">
        <v>44048</v>
      </c>
      <c r="B4229" s="403">
        <v>1.0803709111024299E+20</v>
      </c>
    </row>
    <row r="4230" spans="1:2" ht="12.9" x14ac:dyDescent="0.35">
      <c r="A4230" s="401">
        <v>44049</v>
      </c>
      <c r="B4230" s="403">
        <v>1.30649505528665E+20</v>
      </c>
    </row>
    <row r="4231" spans="1:2" ht="12.9" x14ac:dyDescent="0.35">
      <c r="A4231" s="401">
        <v>44050</v>
      </c>
      <c r="B4231" s="403">
        <v>1.2729951820741801E+20</v>
      </c>
    </row>
    <row r="4232" spans="1:2" ht="12.9" x14ac:dyDescent="0.35">
      <c r="A4232" s="401">
        <v>44051</v>
      </c>
      <c r="B4232" s="403">
        <v>1.18924549904298E+20</v>
      </c>
    </row>
    <row r="4233" spans="1:2" ht="12.9" x14ac:dyDescent="0.35">
      <c r="A4233" s="401">
        <v>44052</v>
      </c>
      <c r="B4233" s="403">
        <v>1.30649505528665E+20</v>
      </c>
    </row>
    <row r="4234" spans="1:2" ht="12.9" x14ac:dyDescent="0.35">
      <c r="A4234" s="401">
        <v>44053</v>
      </c>
      <c r="B4234" s="403">
        <v>1.14737065752738E+20</v>
      </c>
    </row>
    <row r="4235" spans="1:2" ht="12.9" x14ac:dyDescent="0.35">
      <c r="A4235" s="401">
        <v>44054</v>
      </c>
      <c r="B4235" s="403">
        <v>1.29741892842123E+20</v>
      </c>
    </row>
    <row r="4236" spans="1:2" ht="12.9" x14ac:dyDescent="0.35">
      <c r="A4236" s="401">
        <v>44055</v>
      </c>
      <c r="B4236" s="403">
        <v>1.3226933231307299E+20</v>
      </c>
    </row>
    <row r="4237" spans="1:2" ht="12.9" x14ac:dyDescent="0.35">
      <c r="A4237" s="401">
        <v>44056</v>
      </c>
      <c r="B4237" s="403">
        <v>1.2384453407657199E+20</v>
      </c>
    </row>
    <row r="4238" spans="1:2" ht="12.9" x14ac:dyDescent="0.35">
      <c r="A4238" s="401">
        <v>44057</v>
      </c>
      <c r="B4238" s="403">
        <v>1.4069413054957499E+20</v>
      </c>
    </row>
    <row r="4239" spans="1:2" ht="12.9" x14ac:dyDescent="0.35">
      <c r="A4239" s="401">
        <v>44058</v>
      </c>
      <c r="B4239" s="403">
        <v>1.31426852489423E+20</v>
      </c>
    </row>
    <row r="4240" spans="1:2" ht="12.9" x14ac:dyDescent="0.35">
      <c r="A4240" s="401">
        <v>44059</v>
      </c>
      <c r="B4240" s="403">
        <v>1.2805693319482299E+20</v>
      </c>
    </row>
    <row r="4241" spans="1:2" ht="12.9" x14ac:dyDescent="0.35">
      <c r="A4241" s="401">
        <v>44060</v>
      </c>
      <c r="B4241" s="403">
        <v>1.05309977956269E+20</v>
      </c>
    </row>
    <row r="4242" spans="1:2" ht="12.9" x14ac:dyDescent="0.35">
      <c r="A4242" s="401">
        <v>44061</v>
      </c>
      <c r="B4242" s="403">
        <v>1.17947175311021E+20</v>
      </c>
    </row>
    <row r="4243" spans="1:2" ht="12.9" x14ac:dyDescent="0.35">
      <c r="A4243" s="401">
        <v>44062</v>
      </c>
      <c r="B4243" s="403">
        <v>1.1626221566372101E+20</v>
      </c>
    </row>
    <row r="4244" spans="1:2" ht="12.9" x14ac:dyDescent="0.35">
      <c r="A4244" s="401">
        <v>44063</v>
      </c>
      <c r="B4244" s="403">
        <v>1.23002054252922E+20</v>
      </c>
    </row>
    <row r="4245" spans="1:2" ht="12.9" x14ac:dyDescent="0.35">
      <c r="A4245" s="401">
        <v>44064</v>
      </c>
      <c r="B4245" s="403">
        <v>1.30584372665773E+20</v>
      </c>
    </row>
    <row r="4246" spans="1:2" ht="12.9" x14ac:dyDescent="0.35">
      <c r="A4246" s="401">
        <v>44065</v>
      </c>
      <c r="B4246" s="403">
        <v>1.1457725601642E+20</v>
      </c>
    </row>
    <row r="4247" spans="1:2" ht="12.9" x14ac:dyDescent="0.35">
      <c r="A4247" s="401">
        <v>44066</v>
      </c>
      <c r="B4247" s="403">
        <v>1.3226933231307299E+20</v>
      </c>
    </row>
    <row r="4248" spans="1:2" ht="12.9" x14ac:dyDescent="0.35">
      <c r="A4248" s="401">
        <v>44067</v>
      </c>
      <c r="B4248" s="403">
        <v>1.3004907262206499E+20</v>
      </c>
    </row>
    <row r="4249" spans="1:2" ht="12.9" x14ac:dyDescent="0.35">
      <c r="A4249" s="401">
        <v>44068</v>
      </c>
      <c r="B4249" s="403">
        <v>1.11720008695465E+20</v>
      </c>
    </row>
    <row r="4250" spans="1:2" ht="12.9" x14ac:dyDescent="0.35">
      <c r="A4250" s="401">
        <v>44069</v>
      </c>
      <c r="B4250" s="403">
        <v>1.2393938464653201E+20</v>
      </c>
    </row>
    <row r="4251" spans="1:2" ht="12.9" x14ac:dyDescent="0.35">
      <c r="A4251" s="401">
        <v>44070</v>
      </c>
      <c r="B4251" s="403">
        <v>1.1259282126339899E+20</v>
      </c>
    </row>
    <row r="4252" spans="1:2" ht="12.9" x14ac:dyDescent="0.35">
      <c r="A4252" s="401">
        <v>44071</v>
      </c>
      <c r="B4252" s="403">
        <v>1.42268448573132E+20</v>
      </c>
    </row>
    <row r="4253" spans="1:2" ht="12.9" x14ac:dyDescent="0.35">
      <c r="A4253" s="401">
        <v>44072</v>
      </c>
      <c r="B4253" s="403">
        <v>1.27430634918265E+20</v>
      </c>
    </row>
    <row r="4254" spans="1:2" ht="12.9" x14ac:dyDescent="0.35">
      <c r="A4254" s="401">
        <v>44073</v>
      </c>
      <c r="B4254" s="403">
        <v>1.1084719612753201E+20</v>
      </c>
    </row>
    <row r="4255" spans="1:2" ht="12.9" x14ac:dyDescent="0.35">
      <c r="A4255" s="401">
        <v>44074</v>
      </c>
      <c r="B4255" s="403">
        <v>1.30921885189998E+20</v>
      </c>
    </row>
    <row r="4256" spans="1:2" ht="12.9" x14ac:dyDescent="0.35">
      <c r="A4256" s="401">
        <v>44075</v>
      </c>
      <c r="B4256" s="403">
        <v>1.3441313546173201E+20</v>
      </c>
    </row>
    <row r="4257" spans="1:2" ht="12.9" x14ac:dyDescent="0.35">
      <c r="A4257" s="401">
        <v>44076</v>
      </c>
      <c r="B4257" s="403">
        <v>1.2568500978239799E+20</v>
      </c>
    </row>
    <row r="4258" spans="1:2" ht="12.9" x14ac:dyDescent="0.35">
      <c r="A4258" s="401">
        <v>44077</v>
      </c>
      <c r="B4258" s="403">
        <v>1.1259282126339899E+20</v>
      </c>
    </row>
    <row r="4259" spans="1:2" ht="12.9" x14ac:dyDescent="0.35">
      <c r="A4259" s="401">
        <v>44078</v>
      </c>
      <c r="B4259" s="403">
        <v>1.17829696670998E+20</v>
      </c>
    </row>
    <row r="4260" spans="1:2" ht="12.9" x14ac:dyDescent="0.35">
      <c r="A4260" s="401">
        <v>44079</v>
      </c>
      <c r="B4260" s="403">
        <v>1.23066572078598E+20</v>
      </c>
    </row>
    <row r="4261" spans="1:2" ht="12.9" x14ac:dyDescent="0.35">
      <c r="A4261" s="401">
        <v>44080</v>
      </c>
      <c r="B4261" s="403">
        <v>1.30921885189998E+20</v>
      </c>
    </row>
    <row r="4262" spans="1:2" ht="12.9" x14ac:dyDescent="0.35">
      <c r="A4262" s="401">
        <v>44081</v>
      </c>
      <c r="B4262" s="403">
        <v>1.50897989887347E+20</v>
      </c>
    </row>
    <row r="4263" spans="1:2" ht="12.9" x14ac:dyDescent="0.35">
      <c r="A4263" s="401">
        <v>44082</v>
      </c>
      <c r="B4263" s="403">
        <v>1.3365250532879299E+20</v>
      </c>
    </row>
    <row r="4264" spans="1:2" ht="12.9" x14ac:dyDescent="0.35">
      <c r="A4264" s="401">
        <v>44083</v>
      </c>
      <c r="B4264" s="403">
        <v>1.28478859961227E+20</v>
      </c>
    </row>
    <row r="4265" spans="1:2" ht="12.9" x14ac:dyDescent="0.35">
      <c r="A4265" s="401">
        <v>44084</v>
      </c>
      <c r="B4265" s="403">
        <v>1.36239328012576E+20</v>
      </c>
    </row>
    <row r="4266" spans="1:2" ht="12.9" x14ac:dyDescent="0.35">
      <c r="A4266" s="401">
        <v>44085</v>
      </c>
      <c r="B4266" s="403">
        <v>1.1899384345402199E+20</v>
      </c>
    </row>
    <row r="4267" spans="1:2" ht="12.9" x14ac:dyDescent="0.35">
      <c r="A4267" s="401">
        <v>44086</v>
      </c>
      <c r="B4267" s="403">
        <v>1.46586618747708E+20</v>
      </c>
    </row>
    <row r="4268" spans="1:2" ht="12.9" x14ac:dyDescent="0.35">
      <c r="A4268" s="401">
        <v>44087</v>
      </c>
      <c r="B4268" s="403">
        <v>1.3968842492428699E+20</v>
      </c>
    </row>
    <row r="4269" spans="1:2" ht="12.9" x14ac:dyDescent="0.35">
      <c r="A4269" s="401">
        <v>44088</v>
      </c>
      <c r="B4269" s="403">
        <v>1.5176026411527501E+20</v>
      </c>
    </row>
    <row r="4270" spans="1:2" ht="12.9" x14ac:dyDescent="0.35">
      <c r="A4270" s="401">
        <v>44089</v>
      </c>
      <c r="B4270" s="403">
        <v>1.34514779556721E+20</v>
      </c>
    </row>
    <row r="4271" spans="1:2" ht="12.9" x14ac:dyDescent="0.35">
      <c r="A4271" s="401">
        <v>44090</v>
      </c>
      <c r="B4271" s="403">
        <v>1.3365250532879299E+20</v>
      </c>
    </row>
    <row r="4272" spans="1:2" ht="12.9" x14ac:dyDescent="0.35">
      <c r="A4272" s="401">
        <v>44091</v>
      </c>
      <c r="B4272" s="403">
        <v>1.5348481257113E+20</v>
      </c>
    </row>
    <row r="4273" spans="1:2" ht="12.9" x14ac:dyDescent="0.35">
      <c r="A4273" s="401">
        <v>44092</v>
      </c>
      <c r="B4273" s="403">
        <v>1.4227524760807E+20</v>
      </c>
    </row>
    <row r="4274" spans="1:2" ht="12.9" x14ac:dyDescent="0.35">
      <c r="A4274" s="401">
        <v>44093</v>
      </c>
      <c r="B4274" s="403">
        <v>1.28478859961227E+20</v>
      </c>
    </row>
    <row r="4275" spans="1:2" ht="12.9" x14ac:dyDescent="0.35">
      <c r="A4275" s="401">
        <v>44094</v>
      </c>
      <c r="B4275" s="403">
        <v>1.36339422426486E+20</v>
      </c>
    </row>
    <row r="4276" spans="1:2" ht="12.9" x14ac:dyDescent="0.35">
      <c r="A4276" s="401">
        <v>44095</v>
      </c>
      <c r="B4276" s="403">
        <v>1.3921983275944E+20</v>
      </c>
    </row>
    <row r="4277" spans="1:2" ht="12.9" x14ac:dyDescent="0.35">
      <c r="A4277" s="401">
        <v>44096</v>
      </c>
      <c r="B4277" s="403">
        <v>1.23857644317019E+20</v>
      </c>
    </row>
    <row r="4278" spans="1:2" ht="12.9" x14ac:dyDescent="0.35">
      <c r="A4278" s="401">
        <v>44097</v>
      </c>
      <c r="B4278" s="403">
        <v>1.36339422426486E+20</v>
      </c>
    </row>
    <row r="4279" spans="1:2" ht="12.9" x14ac:dyDescent="0.35">
      <c r="A4279" s="401">
        <v>44098</v>
      </c>
      <c r="B4279" s="403">
        <v>1.3153873853823001E+20</v>
      </c>
    </row>
    <row r="4280" spans="1:2" ht="12.9" x14ac:dyDescent="0.35">
      <c r="A4280" s="401">
        <v>44099</v>
      </c>
      <c r="B4280" s="403">
        <v>1.6226311542307199E+20</v>
      </c>
    </row>
    <row r="4281" spans="1:2" ht="12.9" x14ac:dyDescent="0.35">
      <c r="A4281" s="401">
        <v>44100</v>
      </c>
      <c r="B4281" s="403">
        <v>1.4402051664769701E+20</v>
      </c>
    </row>
    <row r="4282" spans="1:2" ht="12.9" x14ac:dyDescent="0.35">
      <c r="A4282" s="401">
        <v>44101</v>
      </c>
      <c r="B4282" s="403">
        <v>1.45940790202999E+20</v>
      </c>
    </row>
    <row r="4283" spans="1:2" ht="12.9" x14ac:dyDescent="0.35">
      <c r="A4283" s="401">
        <v>44102</v>
      </c>
      <c r="B4283" s="403">
        <v>1.23857644317019E+20</v>
      </c>
    </row>
    <row r="4284" spans="1:2" ht="12.9" x14ac:dyDescent="0.35">
      <c r="A4284" s="401">
        <v>44103</v>
      </c>
      <c r="B4284" s="403">
        <v>1.35379285648835E+20</v>
      </c>
    </row>
    <row r="4285" spans="1:2" ht="12.9" x14ac:dyDescent="0.35">
      <c r="A4285" s="401">
        <v>44104</v>
      </c>
      <c r="B4285" s="403">
        <v>1.4978133731360499E+20</v>
      </c>
    </row>
    <row r="4286" spans="1:2" ht="12.9" x14ac:dyDescent="0.35">
      <c r="A4286" s="401">
        <v>44105</v>
      </c>
      <c r="B4286" s="403">
        <v>1.19056960428763E+20</v>
      </c>
    </row>
    <row r="4287" spans="1:2" ht="12.9" x14ac:dyDescent="0.35">
      <c r="A4287" s="401">
        <v>44106</v>
      </c>
      <c r="B4287" s="403">
        <v>1.3057860176057799E+20</v>
      </c>
    </row>
    <row r="4288" spans="1:2" ht="12.9" x14ac:dyDescent="0.35">
      <c r="A4288" s="401">
        <v>44107</v>
      </c>
      <c r="B4288" s="403">
        <v>1.44980653425348E+20</v>
      </c>
    </row>
    <row r="4289" spans="1:2" ht="12.9" x14ac:dyDescent="0.35">
      <c r="A4289" s="401">
        <v>44108</v>
      </c>
      <c r="B4289" s="403">
        <v>1.5157147254370301E+20</v>
      </c>
    </row>
    <row r="4290" spans="1:2" ht="12.9" x14ac:dyDescent="0.35">
      <c r="A4290" s="401">
        <v>44109</v>
      </c>
      <c r="B4290" s="403">
        <v>1.3430383643113E+20</v>
      </c>
    </row>
    <row r="4291" spans="1:2" ht="12.9" x14ac:dyDescent="0.35">
      <c r="A4291" s="401">
        <v>44110</v>
      </c>
      <c r="B4291" s="403">
        <v>1.24710705257477E+20</v>
      </c>
    </row>
    <row r="4292" spans="1:2" ht="12.9" x14ac:dyDescent="0.35">
      <c r="A4292" s="401">
        <v>44111</v>
      </c>
      <c r="B4292" s="403">
        <v>1.44856280722147E+20</v>
      </c>
    </row>
    <row r="4293" spans="1:2" ht="12.9" x14ac:dyDescent="0.35">
      <c r="A4293" s="401">
        <v>44112</v>
      </c>
      <c r="B4293" s="403">
        <v>1.55408725013164E+20</v>
      </c>
    </row>
    <row r="4294" spans="1:2" ht="12.9" x14ac:dyDescent="0.35">
      <c r="A4294" s="401">
        <v>44113</v>
      </c>
      <c r="B4294" s="403">
        <v>1.3622246266586001E+20</v>
      </c>
    </row>
    <row r="4295" spans="1:2" ht="12.9" x14ac:dyDescent="0.35">
      <c r="A4295" s="401">
        <v>44114</v>
      </c>
      <c r="B4295" s="403">
        <v>1.37181775783225E+20</v>
      </c>
    </row>
    <row r="4296" spans="1:2" ht="12.9" x14ac:dyDescent="0.35">
      <c r="A4296" s="401">
        <v>44115</v>
      </c>
      <c r="B4296" s="403">
        <v>1.3430383643113E+20</v>
      </c>
    </row>
    <row r="4297" spans="1:2" ht="12.9" x14ac:dyDescent="0.35">
      <c r="A4297" s="401">
        <v>44116</v>
      </c>
      <c r="B4297" s="403">
        <v>1.42937654487417E+20</v>
      </c>
    </row>
    <row r="4298" spans="1:2" ht="12.9" x14ac:dyDescent="0.35">
      <c r="A4298" s="401">
        <v>44117</v>
      </c>
      <c r="B4298" s="403">
        <v>1.5924597748262499E+20</v>
      </c>
    </row>
    <row r="4299" spans="1:2" ht="12.9" x14ac:dyDescent="0.35">
      <c r="A4299" s="401">
        <v>44118</v>
      </c>
      <c r="B4299" s="403">
        <v>1.42937654487417E+20</v>
      </c>
    </row>
    <row r="4300" spans="1:2" ht="12.9" x14ac:dyDescent="0.35">
      <c r="A4300" s="401">
        <v>44119</v>
      </c>
      <c r="B4300" s="403">
        <v>1.44856280722147E+20</v>
      </c>
    </row>
    <row r="4301" spans="1:2" ht="12.9" x14ac:dyDescent="0.35">
      <c r="A4301" s="401">
        <v>44120</v>
      </c>
      <c r="B4301" s="403">
        <v>1.4869353319160801E+20</v>
      </c>
    </row>
    <row r="4302" spans="1:2" ht="12.9" x14ac:dyDescent="0.35">
      <c r="A4302" s="401">
        <v>44121</v>
      </c>
      <c r="B4302" s="403">
        <v>1.50612159426338E+20</v>
      </c>
    </row>
    <row r="4303" spans="1:2" ht="12.9" x14ac:dyDescent="0.35">
      <c r="A4303" s="401">
        <v>44122</v>
      </c>
      <c r="B4303" s="403">
        <v>1.1928875569898499E+20</v>
      </c>
    </row>
    <row r="4304" spans="1:2" ht="12.9" x14ac:dyDescent="0.35">
      <c r="A4304" s="401">
        <v>44123</v>
      </c>
      <c r="B4304" s="403">
        <v>1.2425912051977599E+20</v>
      </c>
    </row>
    <row r="4305" spans="1:2" ht="12.9" x14ac:dyDescent="0.35">
      <c r="A4305" s="401">
        <v>44124</v>
      </c>
      <c r="B4305" s="403">
        <v>1.43146506838782E+20</v>
      </c>
    </row>
    <row r="4306" spans="1:2" ht="12.9" x14ac:dyDescent="0.35">
      <c r="A4306" s="401">
        <v>44125</v>
      </c>
      <c r="B4306" s="403">
        <v>1.2922948534056699E+20</v>
      </c>
    </row>
    <row r="4307" spans="1:2" ht="12.9" x14ac:dyDescent="0.35">
      <c r="A4307" s="401">
        <v>44126</v>
      </c>
      <c r="B4307" s="403">
        <v>1.3618799608967501E+20</v>
      </c>
    </row>
    <row r="4308" spans="1:2" ht="12.9" x14ac:dyDescent="0.35">
      <c r="A4308" s="401">
        <v>44127</v>
      </c>
      <c r="B4308" s="403">
        <v>1.3022355830472601E+20</v>
      </c>
    </row>
    <row r="4309" spans="1:2" ht="12.9" x14ac:dyDescent="0.35">
      <c r="A4309" s="401">
        <v>44128</v>
      </c>
      <c r="B4309" s="403">
        <v>1.5109909055204799E+20</v>
      </c>
    </row>
    <row r="4310" spans="1:2" ht="12.9" x14ac:dyDescent="0.35">
      <c r="A4310" s="401">
        <v>44129</v>
      </c>
      <c r="B4310" s="403">
        <v>1.16306536806511E+20</v>
      </c>
    </row>
    <row r="4311" spans="1:2" ht="12.9" x14ac:dyDescent="0.35">
      <c r="A4311" s="401">
        <v>44130</v>
      </c>
      <c r="B4311" s="403">
        <v>1.0934802605740301E+20</v>
      </c>
    </row>
    <row r="4312" spans="1:2" ht="12.9" x14ac:dyDescent="0.35">
      <c r="A4312" s="401">
        <v>44131</v>
      </c>
      <c r="B4312" s="403">
        <v>9.8413223451663106E+19</v>
      </c>
    </row>
    <row r="4313" spans="1:2" ht="12.9" x14ac:dyDescent="0.35">
      <c r="A4313" s="401">
        <v>44132</v>
      </c>
      <c r="B4313" s="403">
        <v>9.94072964158213E+19</v>
      </c>
    </row>
    <row r="4314" spans="1:2" ht="12.9" x14ac:dyDescent="0.35">
      <c r="A4314" s="401">
        <v>44133</v>
      </c>
      <c r="B4314" s="403">
        <v>1.07359880129087E+20</v>
      </c>
    </row>
    <row r="4315" spans="1:2" ht="12.9" x14ac:dyDescent="0.35">
      <c r="A4315" s="401">
        <v>44134</v>
      </c>
      <c r="B4315" s="403">
        <v>1.10342099021561E+20</v>
      </c>
    </row>
    <row r="4316" spans="1:2" ht="12.9" x14ac:dyDescent="0.35">
      <c r="A4316" s="401">
        <v>44135</v>
      </c>
      <c r="B4316" s="403">
        <v>1.12330244949878E+20</v>
      </c>
    </row>
    <row r="4317" spans="1:2" ht="12.9" x14ac:dyDescent="0.35">
      <c r="A4317" s="401">
        <v>44136</v>
      </c>
      <c r="B4317" s="403">
        <v>1.2425912051977599E+20</v>
      </c>
    </row>
    <row r="4318" spans="1:2" ht="12.9" x14ac:dyDescent="0.35">
      <c r="A4318" s="401">
        <v>44137</v>
      </c>
      <c r="B4318" s="403">
        <v>9.4436931595030299E+19</v>
      </c>
    </row>
    <row r="4319" spans="1:2" ht="12.9" x14ac:dyDescent="0.35">
      <c r="A4319" s="401">
        <v>44138</v>
      </c>
      <c r="B4319" s="403">
        <v>1.16833507124957E+20</v>
      </c>
    </row>
    <row r="4320" spans="1:2" ht="12.9" x14ac:dyDescent="0.35">
      <c r="A4320" s="401">
        <v>44139</v>
      </c>
      <c r="B4320" s="403">
        <v>1.32689483091915E+20</v>
      </c>
    </row>
    <row r="4321" spans="1:2" ht="12.9" x14ac:dyDescent="0.35">
      <c r="A4321" s="401">
        <v>44140</v>
      </c>
      <c r="B4321" s="403">
        <v>1.22675182481205E+20</v>
      </c>
    </row>
    <row r="4322" spans="1:2" ht="12.9" x14ac:dyDescent="0.35">
      <c r="A4322" s="401">
        <v>44141</v>
      </c>
      <c r="B4322" s="403">
        <v>1.2768233278656001E+20</v>
      </c>
    </row>
    <row r="4323" spans="1:2" ht="12.9" x14ac:dyDescent="0.35">
      <c r="A4323" s="401">
        <v>44142</v>
      </c>
      <c r="B4323" s="403">
        <v>1.2184065743031199E+20</v>
      </c>
    </row>
    <row r="4324" spans="1:2" ht="12.9" x14ac:dyDescent="0.35">
      <c r="A4324" s="401">
        <v>44143</v>
      </c>
      <c r="B4324" s="403">
        <v>1.15164457023172E+20</v>
      </c>
    </row>
    <row r="4325" spans="1:2" ht="12.9" x14ac:dyDescent="0.35">
      <c r="A4325" s="401">
        <v>44144</v>
      </c>
      <c r="B4325" s="403">
        <v>1.5438713441512099E+20</v>
      </c>
    </row>
    <row r="4326" spans="1:2" ht="12.9" x14ac:dyDescent="0.35">
      <c r="A4326" s="401">
        <v>44145</v>
      </c>
      <c r="B4326" s="403">
        <v>1.22675182481205E+20</v>
      </c>
    </row>
    <row r="4327" spans="1:2" ht="12.9" x14ac:dyDescent="0.35">
      <c r="A4327" s="401">
        <v>44146</v>
      </c>
      <c r="B4327" s="403">
        <v>1.22675182481205E+20</v>
      </c>
    </row>
    <row r="4328" spans="1:2" ht="12.9" x14ac:dyDescent="0.35">
      <c r="A4328" s="401">
        <v>44147</v>
      </c>
      <c r="B4328" s="403">
        <v>1.3352400814280801E+20</v>
      </c>
    </row>
    <row r="4329" spans="1:2" ht="12.9" x14ac:dyDescent="0.35">
      <c r="A4329" s="401">
        <v>44148</v>
      </c>
      <c r="B4329" s="403">
        <v>1.1599898207406399E+20</v>
      </c>
    </row>
    <row r="4330" spans="1:2" ht="12.9" x14ac:dyDescent="0.35">
      <c r="A4330" s="401">
        <v>44149</v>
      </c>
      <c r="B4330" s="403">
        <v>1.1850255722674201E+20</v>
      </c>
    </row>
    <row r="4331" spans="1:2" ht="12.9" x14ac:dyDescent="0.35">
      <c r="A4331" s="401">
        <v>44150</v>
      </c>
      <c r="B4331" s="403">
        <v>1.25178757633882E+20</v>
      </c>
    </row>
    <row r="4332" spans="1:2" ht="12.9" x14ac:dyDescent="0.35">
      <c r="A4332" s="401">
        <v>44151</v>
      </c>
      <c r="B4332" s="403">
        <v>1.3352400814280801E+20</v>
      </c>
    </row>
    <row r="4333" spans="1:2" ht="12.9" x14ac:dyDescent="0.35">
      <c r="A4333" s="401">
        <v>44152</v>
      </c>
      <c r="B4333" s="403">
        <v>1.3733445087056799E+20</v>
      </c>
    </row>
    <row r="4334" spans="1:2" ht="12.9" x14ac:dyDescent="0.35">
      <c r="A4334" s="401">
        <v>44153</v>
      </c>
      <c r="B4334" s="403">
        <v>1.47831351574051E+20</v>
      </c>
    </row>
    <row r="4335" spans="1:2" ht="12.9" x14ac:dyDescent="0.35">
      <c r="A4335" s="401">
        <v>44154</v>
      </c>
      <c r="B4335" s="403">
        <v>1.19839616364763E+20</v>
      </c>
    </row>
    <row r="4336" spans="1:2" ht="12.9" x14ac:dyDescent="0.35">
      <c r="A4336" s="401">
        <v>44155</v>
      </c>
      <c r="B4336" s="403">
        <v>1.4695660984876101E+20</v>
      </c>
    </row>
    <row r="4337" spans="1:2" ht="12.9" x14ac:dyDescent="0.35">
      <c r="A4337" s="401">
        <v>44156</v>
      </c>
      <c r="B4337" s="403">
        <v>1.47831351574051E+20</v>
      </c>
    </row>
    <row r="4338" spans="1:2" ht="12.9" x14ac:dyDescent="0.35">
      <c r="A4338" s="401">
        <v>44157</v>
      </c>
      <c r="B4338" s="403">
        <v>1.5220506020050298E+20</v>
      </c>
    </row>
    <row r="4339" spans="1:2" ht="12.9" x14ac:dyDescent="0.35">
      <c r="A4339" s="401">
        <v>44158</v>
      </c>
      <c r="B4339" s="403">
        <v>1.28587033617666E+20</v>
      </c>
    </row>
    <row r="4340" spans="1:2" ht="12.9" x14ac:dyDescent="0.35">
      <c r="A4340" s="401">
        <v>44159</v>
      </c>
      <c r="B4340" s="403">
        <v>1.18964874639473E+20</v>
      </c>
    </row>
    <row r="4341" spans="1:2" ht="12.9" x14ac:dyDescent="0.35">
      <c r="A4341" s="401">
        <v>44160</v>
      </c>
      <c r="B4341" s="403">
        <v>1.35584967419988E+20</v>
      </c>
    </row>
    <row r="4342" spans="1:2" ht="12.9" x14ac:dyDescent="0.35">
      <c r="A4342" s="401">
        <v>44161</v>
      </c>
      <c r="B4342" s="403">
        <v>1.31211258793537E+20</v>
      </c>
    </row>
    <row r="4343" spans="1:2" ht="12.9" x14ac:dyDescent="0.35">
      <c r="A4343" s="401">
        <v>44162</v>
      </c>
      <c r="B4343" s="403">
        <v>1.34710225694698E+20</v>
      </c>
    </row>
    <row r="4344" spans="1:2" ht="12.9" x14ac:dyDescent="0.35">
      <c r="A4344" s="401">
        <v>44163</v>
      </c>
      <c r="B4344" s="403">
        <v>1.34710225694698E+20</v>
      </c>
    </row>
    <row r="4345" spans="1:2" ht="12.9" x14ac:dyDescent="0.35">
      <c r="A4345" s="401">
        <v>44164</v>
      </c>
      <c r="B4345" s="403">
        <v>1.31211258793537E+20</v>
      </c>
    </row>
    <row r="4346" spans="1:2" ht="12.9" x14ac:dyDescent="0.35">
      <c r="A4346" s="401">
        <v>44165</v>
      </c>
      <c r="B4346" s="403">
        <v>1.07610727917311E+20</v>
      </c>
    </row>
    <row r="4347" spans="1:2" ht="12.9" x14ac:dyDescent="0.35">
      <c r="A4347" s="401">
        <v>44166</v>
      </c>
      <c r="B4347" s="403">
        <v>1.44750713658684E+20</v>
      </c>
    </row>
    <row r="4348" spans="1:2" ht="12.9" x14ac:dyDescent="0.35">
      <c r="A4348" s="401">
        <v>44167</v>
      </c>
      <c r="B4348" s="403">
        <v>1.2475225979794501E+20</v>
      </c>
    </row>
    <row r="4349" spans="1:2" ht="12.9" x14ac:dyDescent="0.35">
      <c r="A4349" s="401">
        <v>44168</v>
      </c>
      <c r="B4349" s="403">
        <v>1.4951225029219398E+20</v>
      </c>
    </row>
    <row r="4350" spans="1:2" ht="12.9" x14ac:dyDescent="0.35">
      <c r="A4350" s="401">
        <v>44169</v>
      </c>
      <c r="B4350" s="403">
        <v>1.37132255045069E+20</v>
      </c>
    </row>
    <row r="4351" spans="1:2" ht="12.9" x14ac:dyDescent="0.35">
      <c r="A4351" s="401">
        <v>44170</v>
      </c>
      <c r="B4351" s="403">
        <v>1.37132255045069E+20</v>
      </c>
    </row>
    <row r="4352" spans="1:2" ht="12.9" x14ac:dyDescent="0.35">
      <c r="A4352" s="401">
        <v>44171</v>
      </c>
      <c r="B4352" s="403">
        <v>1.29513796431454E+20</v>
      </c>
    </row>
    <row r="4353" spans="1:2" ht="12.9" x14ac:dyDescent="0.35">
      <c r="A4353" s="401">
        <v>44172</v>
      </c>
      <c r="B4353" s="403">
        <v>1.4284609900528099E+20</v>
      </c>
    </row>
    <row r="4354" spans="1:2" ht="12.9" x14ac:dyDescent="0.35">
      <c r="A4354" s="401">
        <v>44173</v>
      </c>
      <c r="B4354" s="403">
        <v>1.37132255045069E+20</v>
      </c>
    </row>
    <row r="4355" spans="1:2" ht="12.9" x14ac:dyDescent="0.35">
      <c r="A4355" s="401">
        <v>44174</v>
      </c>
      <c r="B4355" s="403">
        <v>1.3237071841155999E+20</v>
      </c>
    </row>
    <row r="4356" spans="1:2" ht="12.9" x14ac:dyDescent="0.35">
      <c r="A4356" s="401">
        <v>44175</v>
      </c>
      <c r="B4356" s="403">
        <v>1.23799952471243E+20</v>
      </c>
    </row>
    <row r="4357" spans="1:2" ht="12.9" x14ac:dyDescent="0.35">
      <c r="A4357" s="401">
        <v>44176</v>
      </c>
      <c r="B4357" s="403">
        <v>1.31418411084858E+20</v>
      </c>
    </row>
    <row r="4358" spans="1:2" ht="12.9" x14ac:dyDescent="0.35">
      <c r="A4358" s="401">
        <v>44177</v>
      </c>
      <c r="B4358" s="403">
        <v>1.25704567124647E+20</v>
      </c>
    </row>
    <row r="4359" spans="1:2" ht="12.9" x14ac:dyDescent="0.35">
      <c r="A4359" s="401">
        <v>44178</v>
      </c>
      <c r="B4359" s="403">
        <v>1.4855994296549199E+20</v>
      </c>
    </row>
    <row r="4360" spans="1:2" ht="12.9" x14ac:dyDescent="0.35">
      <c r="A4360" s="401">
        <v>44179</v>
      </c>
      <c r="B4360" s="403">
        <v>1.34574371394958E+20</v>
      </c>
    </row>
    <row r="4361" spans="1:2" ht="12.9" x14ac:dyDescent="0.35">
      <c r="A4361" s="401">
        <v>44180</v>
      </c>
      <c r="B4361" s="403">
        <v>1.29933875829614E+20</v>
      </c>
    </row>
    <row r="4362" spans="1:2" ht="12.9" x14ac:dyDescent="0.35">
      <c r="A4362" s="401">
        <v>44181</v>
      </c>
      <c r="B4362" s="403">
        <v>1.3271817316881999E+20</v>
      </c>
    </row>
    <row r="4363" spans="1:2" ht="12.9" x14ac:dyDescent="0.35">
      <c r="A4363" s="401">
        <v>44182</v>
      </c>
      <c r="B4363" s="403">
        <v>1.19724785585859E+20</v>
      </c>
    </row>
    <row r="4364" spans="1:2" ht="12.9" x14ac:dyDescent="0.35">
      <c r="A4364" s="401">
        <v>44183</v>
      </c>
      <c r="B4364" s="403">
        <v>1.45711560751782E+20</v>
      </c>
    </row>
    <row r="4365" spans="1:2" ht="12.9" x14ac:dyDescent="0.35">
      <c r="A4365" s="401">
        <v>44184</v>
      </c>
      <c r="B4365" s="403">
        <v>1.4663965986485101E+20</v>
      </c>
    </row>
    <row r="4366" spans="1:2" ht="12.9" x14ac:dyDescent="0.35">
      <c r="A4366" s="401">
        <v>44185</v>
      </c>
      <c r="B4366" s="403">
        <v>1.4014296607337E+20</v>
      </c>
    </row>
    <row r="4367" spans="1:2" ht="12.9" x14ac:dyDescent="0.35">
      <c r="A4367" s="401">
        <v>44186</v>
      </c>
      <c r="B4367" s="403">
        <v>1.2622147937734001E+20</v>
      </c>
    </row>
    <row r="4368" spans="1:2" ht="12.9" x14ac:dyDescent="0.35">
      <c r="A4368" s="401">
        <v>44187</v>
      </c>
      <c r="B4368" s="403">
        <v>1.3271817316881999E+20</v>
      </c>
    </row>
    <row r="4369" spans="1:2" ht="12.9" x14ac:dyDescent="0.35">
      <c r="A4369" s="401">
        <v>44188</v>
      </c>
      <c r="B4369" s="403">
        <v>1.4292726341257599E+20</v>
      </c>
    </row>
    <row r="4370" spans="1:2" ht="12.9" x14ac:dyDescent="0.35">
      <c r="A4370" s="401">
        <v>44189</v>
      </c>
      <c r="B4370" s="403">
        <v>1.1694048824665299E+20</v>
      </c>
    </row>
    <row r="4371" spans="1:2" ht="12.9" x14ac:dyDescent="0.35">
      <c r="A4371" s="401">
        <v>44190</v>
      </c>
      <c r="B4371" s="403">
        <v>1.33646272281889E+20</v>
      </c>
    </row>
    <row r="4372" spans="1:2" ht="12.9" x14ac:dyDescent="0.35">
      <c r="A4372" s="401">
        <v>44191</v>
      </c>
      <c r="B4372" s="403">
        <v>1.2714957849040799E+20</v>
      </c>
    </row>
    <row r="4373" spans="1:2" ht="12.9" x14ac:dyDescent="0.35">
      <c r="A4373" s="401">
        <v>44192</v>
      </c>
      <c r="B4373" s="403">
        <v>1.3735866873416399E+20</v>
      </c>
    </row>
    <row r="4374" spans="1:2" ht="12.9" x14ac:dyDescent="0.35">
      <c r="A4374" s="401">
        <v>44193</v>
      </c>
      <c r="B4374" s="403">
        <v>1.4793452566917598E+20</v>
      </c>
    </row>
    <row r="4375" spans="1:2" ht="12.9" x14ac:dyDescent="0.35">
      <c r="A4375" s="401">
        <v>44194</v>
      </c>
      <c r="B4375" s="403">
        <v>1.40537799385717E+20</v>
      </c>
    </row>
    <row r="4376" spans="1:2" ht="12.9" x14ac:dyDescent="0.35">
      <c r="A4376" s="401">
        <v>44195</v>
      </c>
      <c r="B4376" s="403">
        <v>1.5902961509436401E+20</v>
      </c>
    </row>
    <row r="4377" spans="1:2" ht="12.9" x14ac:dyDescent="0.35">
      <c r="A4377" s="401">
        <v>44196</v>
      </c>
      <c r="B4377" s="403">
        <v>1.5348207038177001E+20</v>
      </c>
    </row>
    <row r="4378" spans="1:2" ht="12.9" x14ac:dyDescent="0.35">
      <c r="A4378" s="401">
        <v>44197</v>
      </c>
      <c r="B4378" s="403">
        <v>1.3776402702942E+20</v>
      </c>
    </row>
    <row r="4379" spans="1:2" ht="12.9" x14ac:dyDescent="0.35">
      <c r="A4379" s="401">
        <v>44198</v>
      </c>
      <c r="B4379" s="403">
        <v>1.39613208600285E+20</v>
      </c>
    </row>
    <row r="4380" spans="1:2" ht="12.9" x14ac:dyDescent="0.35">
      <c r="A4380" s="401">
        <v>44199</v>
      </c>
      <c r="B4380" s="403">
        <v>1.46085344098311E+20</v>
      </c>
    </row>
    <row r="4381" spans="1:2" ht="12.9" x14ac:dyDescent="0.35">
      <c r="A4381" s="401">
        <v>44200</v>
      </c>
      <c r="B4381" s="403">
        <v>1.5995420587979601E+20</v>
      </c>
    </row>
    <row r="4382" spans="1:2" ht="12.9" x14ac:dyDescent="0.35">
      <c r="A4382" s="401">
        <v>44201</v>
      </c>
      <c r="B4382" s="403">
        <v>1.45160753312879E+20</v>
      </c>
    </row>
    <row r="4383" spans="1:2" ht="12.9" x14ac:dyDescent="0.35">
      <c r="A4383" s="401">
        <v>44202</v>
      </c>
      <c r="B4383" s="403">
        <v>1.6365256902152602E+20</v>
      </c>
    </row>
    <row r="4384" spans="1:2" ht="12.9" x14ac:dyDescent="0.35">
      <c r="A4384" s="401">
        <v>44203</v>
      </c>
      <c r="B4384" s="403">
        <v>1.5533125195263499E+20</v>
      </c>
    </row>
    <row r="4385" spans="1:2" ht="12.9" x14ac:dyDescent="0.35">
      <c r="A4385" s="401">
        <v>44204</v>
      </c>
      <c r="B4385" s="403">
        <v>1.36839436243988E+20</v>
      </c>
    </row>
    <row r="4386" spans="1:2" ht="12.9" x14ac:dyDescent="0.35">
      <c r="A4386" s="401">
        <v>44205</v>
      </c>
      <c r="B4386" s="403">
        <v>1.2851811917509599E+20</v>
      </c>
    </row>
    <row r="4387" spans="1:2" ht="12.9" x14ac:dyDescent="0.35">
      <c r="A4387" s="401">
        <v>44206</v>
      </c>
      <c r="B4387" s="403">
        <v>1.6287965092477E+20</v>
      </c>
    </row>
    <row r="4388" spans="1:2" ht="12.9" x14ac:dyDescent="0.35">
      <c r="A4388" s="401">
        <v>44207</v>
      </c>
      <c r="B4388" s="403">
        <v>1.5775764932336199E+20</v>
      </c>
    </row>
    <row r="4389" spans="1:2" ht="12.9" x14ac:dyDescent="0.35">
      <c r="A4389" s="401">
        <v>44208</v>
      </c>
      <c r="B4389" s="403">
        <v>1.51611247401673E+20</v>
      </c>
    </row>
    <row r="4390" spans="1:2" ht="12.9" x14ac:dyDescent="0.35">
      <c r="A4390" s="401">
        <v>44209</v>
      </c>
      <c r="B4390" s="403">
        <v>1.5570884868279901E+20</v>
      </c>
    </row>
    <row r="4391" spans="1:2" ht="12.9" x14ac:dyDescent="0.35">
      <c r="A4391" s="401">
        <v>44210</v>
      </c>
      <c r="B4391" s="403">
        <v>1.50586847081391E+20</v>
      </c>
    </row>
    <row r="4392" spans="1:2" ht="12.9" x14ac:dyDescent="0.35">
      <c r="A4392" s="401">
        <v>44211</v>
      </c>
      <c r="B4392" s="403">
        <v>1.5878204964364399E+20</v>
      </c>
    </row>
    <row r="4393" spans="1:2" ht="12.9" x14ac:dyDescent="0.35">
      <c r="A4393" s="401">
        <v>44212</v>
      </c>
      <c r="B4393" s="403">
        <v>1.50586847081391E+20</v>
      </c>
    </row>
    <row r="4394" spans="1:2" ht="12.9" x14ac:dyDescent="0.35">
      <c r="A4394" s="401">
        <v>44213</v>
      </c>
      <c r="B4394" s="403">
        <v>1.3624524259744901E+20</v>
      </c>
    </row>
    <row r="4395" spans="1:2" ht="12.9" x14ac:dyDescent="0.35">
      <c r="A4395" s="401">
        <v>44214</v>
      </c>
      <c r="B4395" s="403">
        <v>1.4853804644082801E+20</v>
      </c>
    </row>
    <row r="4396" spans="1:2" ht="12.9" x14ac:dyDescent="0.35">
      <c r="A4396" s="401">
        <v>44215</v>
      </c>
      <c r="B4396" s="403">
        <v>1.5263564772195398E+20</v>
      </c>
    </row>
    <row r="4397" spans="1:2" ht="12.9" x14ac:dyDescent="0.35">
      <c r="A4397" s="401">
        <v>44216</v>
      </c>
      <c r="B4397" s="403">
        <v>1.44440445159702E+20</v>
      </c>
    </row>
    <row r="4398" spans="1:2" ht="12.9" x14ac:dyDescent="0.35">
      <c r="A4398" s="401">
        <v>44217</v>
      </c>
      <c r="B4398" s="403">
        <v>1.32147641316323E+20</v>
      </c>
    </row>
    <row r="4399" spans="1:2" ht="12.9" x14ac:dyDescent="0.35">
      <c r="A4399" s="401">
        <v>44218</v>
      </c>
      <c r="B4399" s="403">
        <v>1.44440445159702E+20</v>
      </c>
    </row>
    <row r="4400" spans="1:2" ht="12.9" x14ac:dyDescent="0.35">
      <c r="A4400" s="401">
        <v>44219</v>
      </c>
      <c r="B4400" s="403">
        <v>1.6148236230563299E+20</v>
      </c>
    </row>
    <row r="4401" spans="1:2" ht="12.9" x14ac:dyDescent="0.35">
      <c r="A4401" s="401">
        <v>44220</v>
      </c>
      <c r="B4401" s="403">
        <v>1.43884925387711E+20</v>
      </c>
    </row>
    <row r="4402" spans="1:2" ht="12.9" x14ac:dyDescent="0.35">
      <c r="A4402" s="401">
        <v>44221</v>
      </c>
      <c r="B4402" s="403">
        <v>1.44920068735824E+20</v>
      </c>
    </row>
    <row r="4403" spans="1:2" ht="12.9" x14ac:dyDescent="0.35">
      <c r="A4403" s="401">
        <v>44222</v>
      </c>
      <c r="B4403" s="403">
        <v>1.66658079046198E+20</v>
      </c>
    </row>
    <row r="4404" spans="1:2" ht="12.9" x14ac:dyDescent="0.35">
      <c r="A4404" s="401">
        <v>44223</v>
      </c>
      <c r="B4404" s="403">
        <v>1.46990355432051E+20</v>
      </c>
    </row>
    <row r="4405" spans="1:2" ht="12.9" x14ac:dyDescent="0.35">
      <c r="A4405" s="401">
        <v>44224</v>
      </c>
      <c r="B4405" s="403">
        <v>1.5009578547638999E+20</v>
      </c>
    </row>
    <row r="4406" spans="1:2" ht="12.9" x14ac:dyDescent="0.35">
      <c r="A4406" s="401">
        <v>44225</v>
      </c>
      <c r="B4406" s="403">
        <v>1.57341788913181E+20</v>
      </c>
    </row>
    <row r="4407" spans="1:2" ht="12.9" x14ac:dyDescent="0.35">
      <c r="A4407" s="401">
        <v>44226</v>
      </c>
      <c r="B4407" s="403">
        <v>1.4077949534337199E+20</v>
      </c>
    </row>
    <row r="4408" spans="1:2" ht="12.9" x14ac:dyDescent="0.35">
      <c r="A4408" s="401">
        <v>44227</v>
      </c>
      <c r="B4408" s="403">
        <v>1.4906064212827701E+20</v>
      </c>
    </row>
    <row r="4409" spans="1:2" ht="12.9" x14ac:dyDescent="0.35">
      <c r="A4409" s="401">
        <v>44228</v>
      </c>
      <c r="B4409" s="403">
        <v>1.23182058425451E+20</v>
      </c>
    </row>
    <row r="4410" spans="1:2" ht="12.9" x14ac:dyDescent="0.35">
      <c r="A4410" s="401">
        <v>44229</v>
      </c>
      <c r="B4410" s="403">
        <v>1.5837693226129401E+20</v>
      </c>
    </row>
    <row r="4411" spans="1:2" ht="12.9" x14ac:dyDescent="0.35">
      <c r="A4411" s="401">
        <v>44230</v>
      </c>
      <c r="B4411" s="403">
        <v>1.55271502216955E+20</v>
      </c>
    </row>
    <row r="4412" spans="1:2" ht="12.9" x14ac:dyDescent="0.35">
      <c r="A4412" s="401">
        <v>44231</v>
      </c>
      <c r="B4412" s="403">
        <v>1.6562293569808499E+20</v>
      </c>
    </row>
    <row r="4413" spans="1:2" ht="12.9" x14ac:dyDescent="0.35">
      <c r="A4413" s="401">
        <v>44232</v>
      </c>
      <c r="B4413" s="403">
        <v>1.7493922583110199E+20</v>
      </c>
    </row>
    <row r="4414" spans="1:2" ht="12.9" x14ac:dyDescent="0.35">
      <c r="A4414" s="401">
        <v>44233</v>
      </c>
      <c r="B4414" s="403">
        <v>1.6941602681131699E+20</v>
      </c>
    </row>
    <row r="4415" spans="1:2" ht="12.9" x14ac:dyDescent="0.35">
      <c r="A4415" s="401">
        <v>44234</v>
      </c>
      <c r="B4415" s="403">
        <v>1.6621949800355601E+20</v>
      </c>
    </row>
    <row r="4416" spans="1:2" ht="12.9" x14ac:dyDescent="0.35">
      <c r="A4416" s="401">
        <v>44235</v>
      </c>
      <c r="B4416" s="403">
        <v>1.72612555619077E+20</v>
      </c>
    </row>
    <row r="4417" spans="1:2" ht="12.9" x14ac:dyDescent="0.35">
      <c r="A4417" s="401">
        <v>44236</v>
      </c>
      <c r="B4417" s="403">
        <v>1.52367873169926E+20</v>
      </c>
    </row>
    <row r="4418" spans="1:2" ht="12.9" x14ac:dyDescent="0.35">
      <c r="A4418" s="401">
        <v>44237</v>
      </c>
      <c r="B4418" s="403">
        <v>1.52367873169926E+20</v>
      </c>
    </row>
    <row r="4419" spans="1:2" ht="12.9" x14ac:dyDescent="0.35">
      <c r="A4419" s="401">
        <v>44238</v>
      </c>
      <c r="B4419" s="403">
        <v>1.3745073873371E+20</v>
      </c>
    </row>
    <row r="4420" spans="1:2" ht="12.9" x14ac:dyDescent="0.35">
      <c r="A4420" s="401">
        <v>44239</v>
      </c>
      <c r="B4420" s="403">
        <v>1.5130236356733901E+20</v>
      </c>
    </row>
    <row r="4421" spans="1:2" ht="12.9" x14ac:dyDescent="0.35">
      <c r="A4421" s="401">
        <v>44240</v>
      </c>
      <c r="B4421" s="403">
        <v>1.6728500760614299E+20</v>
      </c>
    </row>
    <row r="4422" spans="1:2" ht="12.9" x14ac:dyDescent="0.35">
      <c r="A4422" s="401">
        <v>44241</v>
      </c>
      <c r="B4422" s="403">
        <v>1.5769542118286098E+20</v>
      </c>
    </row>
    <row r="4423" spans="1:2" ht="12.9" x14ac:dyDescent="0.35">
      <c r="A4423" s="401">
        <v>44242</v>
      </c>
      <c r="B4423" s="403">
        <v>1.61957459593208E+20</v>
      </c>
    </row>
    <row r="4424" spans="1:2" ht="12.9" x14ac:dyDescent="0.35">
      <c r="A4424" s="401">
        <v>44243</v>
      </c>
      <c r="B4424" s="403">
        <v>1.2892666191301399E+20</v>
      </c>
    </row>
    <row r="4425" spans="1:2" ht="12.9" x14ac:dyDescent="0.35">
      <c r="A4425" s="401">
        <v>44244</v>
      </c>
      <c r="B4425" s="403">
        <v>1.4704032515699199E+20</v>
      </c>
    </row>
    <row r="4426" spans="1:2" ht="12.9" x14ac:dyDescent="0.35">
      <c r="A4426" s="401">
        <v>44245</v>
      </c>
      <c r="B4426" s="403">
        <v>1.4597481555440501E+20</v>
      </c>
    </row>
    <row r="4427" spans="1:2" ht="12.9" x14ac:dyDescent="0.35">
      <c r="A4427" s="401">
        <v>44246</v>
      </c>
      <c r="B4427" s="403">
        <v>1.6302296919579499E+20</v>
      </c>
    </row>
    <row r="4428" spans="1:2" ht="12.9" x14ac:dyDescent="0.35">
      <c r="A4428" s="401">
        <v>44247</v>
      </c>
      <c r="B4428" s="403">
        <v>1.5766724008936201E+20</v>
      </c>
    </row>
    <row r="4429" spans="1:2" ht="12.9" x14ac:dyDescent="0.35">
      <c r="A4429" s="401">
        <v>44248</v>
      </c>
      <c r="B4429" s="403">
        <v>1.5226767707260299E+20</v>
      </c>
    </row>
    <row r="4430" spans="1:2" ht="12.9" x14ac:dyDescent="0.35">
      <c r="A4430" s="401">
        <v>44249</v>
      </c>
      <c r="B4430" s="403">
        <v>1.43628376245788E+20</v>
      </c>
    </row>
    <row r="4431" spans="1:2" ht="12.9" x14ac:dyDescent="0.35">
      <c r="A4431" s="401">
        <v>44250</v>
      </c>
      <c r="B4431" s="403">
        <v>1.3714890062567799E+20</v>
      </c>
    </row>
    <row r="4432" spans="1:2" ht="12.9" x14ac:dyDescent="0.35">
      <c r="A4432" s="401">
        <v>44251</v>
      </c>
      <c r="B4432" s="403">
        <v>1.7170610393293501E+20</v>
      </c>
    </row>
    <row r="4433" spans="1:2" ht="12.9" x14ac:dyDescent="0.35">
      <c r="A4433" s="401">
        <v>44252</v>
      </c>
      <c r="B4433" s="403">
        <v>1.6846636612288001E+20</v>
      </c>
    </row>
    <row r="4434" spans="1:2" ht="12.9" x14ac:dyDescent="0.35">
      <c r="A4434" s="401">
        <v>44253</v>
      </c>
      <c r="B4434" s="403">
        <v>1.5010785186589901E+20</v>
      </c>
    </row>
    <row r="4435" spans="1:2" ht="12.9" x14ac:dyDescent="0.35">
      <c r="A4435" s="401">
        <v>44254</v>
      </c>
      <c r="B4435" s="403">
        <v>1.6954627872623201E+20</v>
      </c>
    </row>
    <row r="4436" spans="1:2" ht="12.9" x14ac:dyDescent="0.35">
      <c r="A4436" s="401">
        <v>44255</v>
      </c>
      <c r="B4436" s="403">
        <v>1.41468551039085E+20</v>
      </c>
    </row>
    <row r="4437" spans="1:2" ht="12.9" x14ac:dyDescent="0.35">
      <c r="A4437" s="401">
        <v>44256</v>
      </c>
      <c r="B4437" s="403">
        <v>1.40388638435733E+20</v>
      </c>
    </row>
    <row r="4438" spans="1:2" ht="12.9" x14ac:dyDescent="0.35">
      <c r="A4438" s="401">
        <v>44257</v>
      </c>
      <c r="B4438" s="403">
        <v>1.5442750227930599E+20</v>
      </c>
    </row>
    <row r="4439" spans="1:2" ht="12.9" x14ac:dyDescent="0.35">
      <c r="A4439" s="401">
        <v>44258</v>
      </c>
      <c r="B4439" s="403">
        <v>1.64146715709473E+20</v>
      </c>
    </row>
    <row r="4440" spans="1:2" ht="12.9" x14ac:dyDescent="0.35">
      <c r="A4440" s="401">
        <v>44259</v>
      </c>
      <c r="B4440" s="403">
        <v>1.3822881322903E+20</v>
      </c>
    </row>
    <row r="4441" spans="1:2" ht="12.9" x14ac:dyDescent="0.35">
      <c r="A4441" s="401">
        <v>44260</v>
      </c>
      <c r="B4441" s="403">
        <v>1.6090697789941701E+20</v>
      </c>
    </row>
    <row r="4442" spans="1:2" ht="12.9" x14ac:dyDescent="0.35">
      <c r="A4442" s="401">
        <v>44261</v>
      </c>
      <c r="B4442" s="403">
        <v>1.6206234993020699E+20</v>
      </c>
    </row>
    <row r="4443" spans="1:2" ht="12.9" x14ac:dyDescent="0.35">
      <c r="A4443" s="401">
        <v>44262</v>
      </c>
      <c r="B4443" s="403">
        <v>1.55665151906646E+20</v>
      </c>
    </row>
    <row r="4444" spans="1:2" ht="12.9" x14ac:dyDescent="0.35">
      <c r="A4444" s="401">
        <v>44263</v>
      </c>
      <c r="B4444" s="403">
        <v>1.6526094894198699E+20</v>
      </c>
    </row>
    <row r="4445" spans="1:2" ht="12.9" x14ac:dyDescent="0.35">
      <c r="A4445" s="401">
        <v>44264</v>
      </c>
      <c r="B4445" s="403">
        <v>1.4926795388308501E+20</v>
      </c>
    </row>
    <row r="4446" spans="1:2" ht="12.9" x14ac:dyDescent="0.35">
      <c r="A4446" s="401">
        <v>44265</v>
      </c>
      <c r="B4446" s="403">
        <v>1.58863750918426E+20</v>
      </c>
    </row>
    <row r="4447" spans="1:2" ht="12.9" x14ac:dyDescent="0.35">
      <c r="A4447" s="401">
        <v>44266</v>
      </c>
      <c r="B4447" s="403">
        <v>1.40738356518337E+20</v>
      </c>
    </row>
    <row r="4448" spans="1:2" ht="12.9" x14ac:dyDescent="0.35">
      <c r="A4448" s="401">
        <v>44267</v>
      </c>
      <c r="B4448" s="403">
        <v>1.5992995058902001E+20</v>
      </c>
    </row>
    <row r="4449" spans="1:2" ht="12.9" x14ac:dyDescent="0.35">
      <c r="A4449" s="401">
        <v>44268</v>
      </c>
      <c r="B4449" s="403">
        <v>1.5246655289486501E+20</v>
      </c>
    </row>
    <row r="4450" spans="1:2" ht="12.9" x14ac:dyDescent="0.35">
      <c r="A4450" s="401">
        <v>44269</v>
      </c>
      <c r="B4450" s="403">
        <v>1.6739334828317399E+20</v>
      </c>
    </row>
    <row r="4451" spans="1:2" ht="12.9" x14ac:dyDescent="0.35">
      <c r="A4451" s="401">
        <v>44270</v>
      </c>
      <c r="B4451" s="403">
        <v>1.5779755124783301E+20</v>
      </c>
    </row>
    <row r="4452" spans="1:2" ht="12.9" x14ac:dyDescent="0.35">
      <c r="A4452" s="401">
        <v>44271</v>
      </c>
      <c r="B4452" s="403">
        <v>1.58863750918426E+20</v>
      </c>
    </row>
    <row r="4453" spans="1:2" ht="12.9" x14ac:dyDescent="0.35">
      <c r="A4453" s="401">
        <v>44272</v>
      </c>
      <c r="B4453" s="403">
        <v>1.45003155200711E+20</v>
      </c>
    </row>
    <row r="4454" spans="1:2" ht="12.9" x14ac:dyDescent="0.35">
      <c r="A4454" s="401">
        <v>44273</v>
      </c>
      <c r="B4454" s="403">
        <v>1.6206234993020699E+20</v>
      </c>
    </row>
    <row r="4455" spans="1:2" ht="12.9" x14ac:dyDescent="0.35">
      <c r="A4455" s="401">
        <v>44274</v>
      </c>
      <c r="B4455" s="403">
        <v>1.5779755124783301E+20</v>
      </c>
    </row>
    <row r="4456" spans="1:2" ht="12.9" x14ac:dyDescent="0.35">
      <c r="A4456" s="401">
        <v>44275</v>
      </c>
      <c r="B4456" s="403">
        <v>1.6738918904398499E+20</v>
      </c>
    </row>
    <row r="4457" spans="1:2" ht="12.9" x14ac:dyDescent="0.35">
      <c r="A4457" s="401">
        <v>44276</v>
      </c>
      <c r="B4457" s="403">
        <v>1.6956307461598501E+20</v>
      </c>
    </row>
    <row r="4458" spans="1:2" ht="12.9" x14ac:dyDescent="0.35">
      <c r="A4458" s="401">
        <v>44277</v>
      </c>
      <c r="B4458" s="403">
        <v>1.6412836068598599E+20</v>
      </c>
    </row>
    <row r="4459" spans="1:2" ht="12.9" x14ac:dyDescent="0.35">
      <c r="A4459" s="401">
        <v>44278</v>
      </c>
      <c r="B4459" s="403">
        <v>1.7499778854598499E+20</v>
      </c>
    </row>
    <row r="4460" spans="1:2" ht="12.9" x14ac:dyDescent="0.35">
      <c r="A4460" s="401">
        <v>44279</v>
      </c>
      <c r="B4460" s="403">
        <v>1.65215303471985E+20</v>
      </c>
    </row>
    <row r="4461" spans="1:2" ht="12.9" x14ac:dyDescent="0.35">
      <c r="A4461" s="401">
        <v>44280</v>
      </c>
      <c r="B4461" s="403">
        <v>1.6738918904398499E+20</v>
      </c>
    </row>
    <row r="4462" spans="1:2" ht="12.9" x14ac:dyDescent="0.35">
      <c r="A4462" s="401">
        <v>44281</v>
      </c>
      <c r="B4462" s="403">
        <v>1.4782421889598702E+20</v>
      </c>
    </row>
    <row r="4463" spans="1:2" ht="12.9" x14ac:dyDescent="0.35">
      <c r="A4463" s="401">
        <v>44282</v>
      </c>
      <c r="B4463" s="403">
        <v>1.72823902973985E+20</v>
      </c>
    </row>
    <row r="4464" spans="1:2" ht="12.9" x14ac:dyDescent="0.35">
      <c r="A4464" s="401">
        <v>44283</v>
      </c>
      <c r="B4464" s="403">
        <v>1.72823902973985E+20</v>
      </c>
    </row>
    <row r="4465" spans="1:2" ht="12.9" x14ac:dyDescent="0.35">
      <c r="A4465" s="401">
        <v>44284</v>
      </c>
      <c r="B4465" s="403">
        <v>1.6412836068598599E+20</v>
      </c>
    </row>
    <row r="4466" spans="1:2" ht="12.9" x14ac:dyDescent="0.35">
      <c r="A4466" s="401">
        <v>44285</v>
      </c>
      <c r="B4466" s="403">
        <v>1.5869364675598601E+20</v>
      </c>
    </row>
    <row r="4467" spans="1:2" ht="12.9" x14ac:dyDescent="0.35">
      <c r="A4467" s="401">
        <v>44286</v>
      </c>
      <c r="B4467" s="403">
        <v>1.7065001740198501E+20</v>
      </c>
    </row>
    <row r="4468" spans="1:2" ht="12.9" x14ac:dyDescent="0.35">
      <c r="A4468" s="401">
        <v>44287</v>
      </c>
      <c r="B4468" s="403">
        <v>1.5760670396998599E+20</v>
      </c>
    </row>
    <row r="4469" spans="1:2" ht="12.9" x14ac:dyDescent="0.35">
      <c r="A4469" s="401">
        <v>44288</v>
      </c>
      <c r="B4469" s="403">
        <v>1.6102357101034501E+20</v>
      </c>
    </row>
    <row r="4470" spans="1:2" ht="12.9" x14ac:dyDescent="0.35">
      <c r="A4470" s="401">
        <v>44289</v>
      </c>
      <c r="B4470" s="403">
        <v>1.50672055731109E+20</v>
      </c>
    </row>
    <row r="4471" spans="1:2" ht="12.9" x14ac:dyDescent="0.35">
      <c r="A4471" s="401">
        <v>44290</v>
      </c>
      <c r="B4471" s="403">
        <v>1.6792458119650299E+20</v>
      </c>
    </row>
    <row r="4472" spans="1:2" ht="12.9" x14ac:dyDescent="0.35">
      <c r="A4472" s="401">
        <v>44291</v>
      </c>
      <c r="B4472" s="403">
        <v>1.79426264840099E+20</v>
      </c>
    </row>
    <row r="4473" spans="1:2" ht="12.9" x14ac:dyDescent="0.35">
      <c r="A4473" s="401">
        <v>44292</v>
      </c>
      <c r="B4473" s="403">
        <v>1.6562424446778399E+20</v>
      </c>
    </row>
    <row r="4474" spans="1:2" ht="12.9" x14ac:dyDescent="0.35">
      <c r="A4474" s="401">
        <v>44293</v>
      </c>
      <c r="B4474" s="403">
        <v>1.8057643320445901E+20</v>
      </c>
    </row>
    <row r="4475" spans="1:2" ht="12.9" x14ac:dyDescent="0.35">
      <c r="A4475" s="401">
        <v>44294</v>
      </c>
      <c r="B4475" s="403">
        <v>1.5412256082418801E+20</v>
      </c>
    </row>
    <row r="4476" spans="1:2" ht="12.9" x14ac:dyDescent="0.35">
      <c r="A4476" s="401">
        <v>44295</v>
      </c>
      <c r="B4476" s="403">
        <v>1.7482559138266101E+20</v>
      </c>
    </row>
    <row r="4477" spans="1:2" ht="12.9" x14ac:dyDescent="0.35">
      <c r="A4477" s="401">
        <v>44296</v>
      </c>
      <c r="B4477" s="403">
        <v>1.8057643320445901E+20</v>
      </c>
    </row>
    <row r="4478" spans="1:2" ht="12.9" x14ac:dyDescent="0.35">
      <c r="A4478" s="401">
        <v>44297</v>
      </c>
      <c r="B4478" s="403">
        <v>1.6677441283214302E+20</v>
      </c>
    </row>
    <row r="4479" spans="1:2" ht="12.9" x14ac:dyDescent="0.35">
      <c r="A4479" s="401">
        <v>44298</v>
      </c>
      <c r="B4479" s="403">
        <v>1.6562424446778399E+20</v>
      </c>
    </row>
    <row r="4480" spans="1:2" ht="12.9" x14ac:dyDescent="0.35">
      <c r="A4480" s="401">
        <v>44299</v>
      </c>
      <c r="B4480" s="403">
        <v>1.6332390773906499E+20</v>
      </c>
    </row>
    <row r="4481" spans="1:2" ht="12.9" x14ac:dyDescent="0.35">
      <c r="A4481" s="401">
        <v>44300</v>
      </c>
      <c r="B4481" s="403">
        <v>1.55272729188547E+20</v>
      </c>
    </row>
    <row r="4482" spans="1:2" ht="12.9" x14ac:dyDescent="0.35">
      <c r="A4482" s="401">
        <v>44301</v>
      </c>
      <c r="B4482" s="403">
        <v>1.97828958669853E+20</v>
      </c>
    </row>
    <row r="4483" spans="1:2" ht="12.9" x14ac:dyDescent="0.35">
      <c r="A4483" s="401">
        <v>44302</v>
      </c>
      <c r="B4483" s="403">
        <v>1.20743465564441E+20</v>
      </c>
    </row>
    <row r="4484" spans="1:2" ht="12.9" x14ac:dyDescent="0.35">
      <c r="A4484" s="401">
        <v>44303</v>
      </c>
      <c r="B4484" s="403">
        <v>1.0667626569285599E+20</v>
      </c>
    </row>
    <row r="4485" spans="1:2" ht="12.9" x14ac:dyDescent="0.35">
      <c r="A4485" s="401">
        <v>44304</v>
      </c>
      <c r="B4485" s="403">
        <v>1.4536106533971599E+20</v>
      </c>
    </row>
    <row r="4486" spans="1:2" ht="12.9" x14ac:dyDescent="0.35">
      <c r="A4486" s="401">
        <v>44305</v>
      </c>
      <c r="B4486" s="403">
        <v>1.13709865628648E+20</v>
      </c>
    </row>
    <row r="4487" spans="1:2" ht="12.9" x14ac:dyDescent="0.35">
      <c r="A4487" s="401">
        <v>44306</v>
      </c>
      <c r="B4487" s="403">
        <v>1.5005013196357701E+20</v>
      </c>
    </row>
    <row r="4488" spans="1:2" ht="12.9" x14ac:dyDescent="0.35">
      <c r="A4488" s="401">
        <v>44307</v>
      </c>
      <c r="B4488" s="403">
        <v>1.1839893225251E+20</v>
      </c>
    </row>
    <row r="4489" spans="1:2" ht="12.9" x14ac:dyDescent="0.35">
      <c r="A4489" s="401">
        <v>44308</v>
      </c>
      <c r="B4489" s="403">
        <v>1.67634131803059E+20</v>
      </c>
    </row>
    <row r="4490" spans="1:2" ht="12.9" x14ac:dyDescent="0.35">
      <c r="A4490" s="401">
        <v>44309</v>
      </c>
      <c r="B4490" s="403">
        <v>1.5825599855533602E+20</v>
      </c>
    </row>
    <row r="4491" spans="1:2" ht="12.9" x14ac:dyDescent="0.35">
      <c r="A4491" s="401">
        <v>44310</v>
      </c>
      <c r="B4491" s="403">
        <v>1.6997866511498999E+20</v>
      </c>
    </row>
    <row r="4492" spans="1:2" ht="12.9" x14ac:dyDescent="0.35">
      <c r="A4492" s="401">
        <v>44311</v>
      </c>
      <c r="B4492" s="403">
        <v>1.65289598491128E+20</v>
      </c>
    </row>
    <row r="4493" spans="1:2" ht="12.9" x14ac:dyDescent="0.35">
      <c r="A4493" s="401">
        <v>44312</v>
      </c>
      <c r="B4493" s="403">
        <v>1.3363839878006101E+20</v>
      </c>
    </row>
    <row r="4494" spans="1:2" ht="12.9" x14ac:dyDescent="0.35">
      <c r="A4494" s="401">
        <v>44313</v>
      </c>
      <c r="B4494" s="403">
        <v>1.6646186514709401E+20</v>
      </c>
    </row>
    <row r="4495" spans="1:2" ht="12.9" x14ac:dyDescent="0.35">
      <c r="A4495" s="401">
        <v>44314</v>
      </c>
      <c r="B4495" s="403">
        <v>1.6646186514709401E+20</v>
      </c>
    </row>
    <row r="4496" spans="1:2" ht="12.9" x14ac:dyDescent="0.35">
      <c r="A4496" s="401">
        <v>44315</v>
      </c>
      <c r="B4496" s="403">
        <v>1.43016532027785E+20</v>
      </c>
    </row>
    <row r="4497" spans="1:2" ht="12.9" x14ac:dyDescent="0.35">
      <c r="A4497" s="401">
        <v>44316</v>
      </c>
      <c r="B4497" s="403">
        <v>1.6997866511498999E+20</v>
      </c>
    </row>
    <row r="4498" spans="1:2" ht="12.9" x14ac:dyDescent="0.35">
      <c r="A4498" s="401">
        <v>44317</v>
      </c>
      <c r="B4498" s="403">
        <v>1.6294506517919701E+20</v>
      </c>
    </row>
    <row r="4499" spans="1:2" ht="12.9" x14ac:dyDescent="0.35">
      <c r="A4499" s="401">
        <v>44318</v>
      </c>
      <c r="B4499" s="403">
        <v>1.8952718650028101E+20</v>
      </c>
    </row>
    <row r="4500" spans="1:2" ht="12.9" x14ac:dyDescent="0.35">
      <c r="A4500" s="401">
        <v>44319</v>
      </c>
      <c r="B4500" s="403">
        <v>1.81331416273242E+20</v>
      </c>
    </row>
    <row r="4501" spans="1:2" ht="12.9" x14ac:dyDescent="0.35">
      <c r="A4501" s="401">
        <v>44320</v>
      </c>
      <c r="B4501" s="403">
        <v>1.8542930138676101E+20</v>
      </c>
    </row>
    <row r="4502" spans="1:2" ht="12.9" x14ac:dyDescent="0.35">
      <c r="A4502" s="401">
        <v>44321</v>
      </c>
      <c r="B4502" s="403">
        <v>1.6084199070564401E+20</v>
      </c>
    </row>
    <row r="4503" spans="1:2" ht="12.9" x14ac:dyDescent="0.35">
      <c r="A4503" s="401">
        <v>44322</v>
      </c>
      <c r="B4503" s="403">
        <v>1.7416011732458199E+20</v>
      </c>
    </row>
    <row r="4504" spans="1:2" ht="12.9" x14ac:dyDescent="0.35">
      <c r="A4504" s="401">
        <v>44323</v>
      </c>
      <c r="B4504" s="403">
        <v>1.7620905988134201E+20</v>
      </c>
    </row>
    <row r="4505" spans="1:2" ht="12.9" x14ac:dyDescent="0.35">
      <c r="A4505" s="401">
        <v>44324</v>
      </c>
      <c r="B4505" s="403">
        <v>1.7518458860296199E+20</v>
      </c>
    </row>
    <row r="4506" spans="1:2" ht="12.9" x14ac:dyDescent="0.35">
      <c r="A4506" s="401">
        <v>44325</v>
      </c>
      <c r="B4506" s="403">
        <v>1.90551657778661E+20</v>
      </c>
    </row>
    <row r="4507" spans="1:2" ht="12.9" x14ac:dyDescent="0.35">
      <c r="A4507" s="401">
        <v>44326</v>
      </c>
      <c r="B4507" s="403">
        <v>1.8440483010838099E+20</v>
      </c>
    </row>
    <row r="4508" spans="1:2" ht="12.9" x14ac:dyDescent="0.35">
      <c r="A4508" s="401">
        <v>44327</v>
      </c>
      <c r="B4508" s="403">
        <v>1.7620905988134201E+20</v>
      </c>
    </row>
    <row r="4509" spans="1:2" ht="12.9" x14ac:dyDescent="0.35">
      <c r="A4509" s="401">
        <v>44328</v>
      </c>
      <c r="B4509" s="403">
        <v>1.7620905988134201E+20</v>
      </c>
    </row>
    <row r="4510" spans="1:2" ht="12.9" x14ac:dyDescent="0.35">
      <c r="A4510" s="401">
        <v>44329</v>
      </c>
      <c r="B4510" s="403">
        <v>2.0045589187189201E+20</v>
      </c>
    </row>
    <row r="4511" spans="1:2" ht="12.9" x14ac:dyDescent="0.35">
      <c r="A4511" s="401">
        <v>44330</v>
      </c>
      <c r="B4511" s="403">
        <v>1.6683906528467999E+20</v>
      </c>
    </row>
    <row r="4512" spans="1:2" ht="12.9" x14ac:dyDescent="0.35">
      <c r="A4512" s="401">
        <v>44331</v>
      </c>
      <c r="B4512" s="403">
        <v>1.5314332111952E+20</v>
      </c>
    </row>
    <row r="4513" spans="1:2" ht="12.9" x14ac:dyDescent="0.35">
      <c r="A4513" s="401">
        <v>44332</v>
      </c>
      <c r="B4513" s="403">
        <v>1.64348929981923E+20</v>
      </c>
    </row>
    <row r="4514" spans="1:2" ht="12.9" x14ac:dyDescent="0.35">
      <c r="A4514" s="401">
        <v>44333</v>
      </c>
      <c r="B4514" s="403">
        <v>1.5065318581676301E+20</v>
      </c>
    </row>
    <row r="4515" spans="1:2" ht="12.9" x14ac:dyDescent="0.35">
      <c r="A4515" s="401">
        <v>44334</v>
      </c>
      <c r="B4515" s="403">
        <v>1.2450676513782101E+20</v>
      </c>
    </row>
    <row r="4516" spans="1:2" ht="12.9" x14ac:dyDescent="0.35">
      <c r="A4516" s="401">
        <v>44335</v>
      </c>
      <c r="B4516" s="403">
        <v>1.5563345642227601E+20</v>
      </c>
    </row>
    <row r="4517" spans="1:2" ht="12.9" x14ac:dyDescent="0.35">
      <c r="A4517" s="401">
        <v>44336</v>
      </c>
      <c r="B4517" s="403">
        <v>1.3944757695435901E+20</v>
      </c>
    </row>
    <row r="4518" spans="1:2" ht="12.9" x14ac:dyDescent="0.35">
      <c r="A4518" s="401">
        <v>44337</v>
      </c>
      <c r="B4518" s="403">
        <v>1.36957441651603E+20</v>
      </c>
    </row>
    <row r="4519" spans="1:2" ht="12.9" x14ac:dyDescent="0.35">
      <c r="A4519" s="401">
        <v>44338</v>
      </c>
      <c r="B4519" s="403">
        <v>1.44427847559872E+20</v>
      </c>
    </row>
    <row r="4520" spans="1:2" ht="12.9" x14ac:dyDescent="0.35">
      <c r="A4520" s="401">
        <v>44339</v>
      </c>
      <c r="B4520" s="403">
        <v>1.48163050514007E+20</v>
      </c>
    </row>
    <row r="4521" spans="1:2" ht="12.9" x14ac:dyDescent="0.35">
      <c r="A4521" s="401">
        <v>44340</v>
      </c>
      <c r="B4521" s="403">
        <v>1.5687852407365399E+20</v>
      </c>
    </row>
    <row r="4522" spans="1:2" ht="12.9" x14ac:dyDescent="0.35">
      <c r="A4522" s="401">
        <v>44341</v>
      </c>
      <c r="B4522" s="403">
        <v>1.5314332111952E+20</v>
      </c>
    </row>
    <row r="4523" spans="1:2" ht="12.9" x14ac:dyDescent="0.35">
      <c r="A4523" s="401">
        <v>44342</v>
      </c>
      <c r="B4523" s="403">
        <v>1.5189825346814099E+20</v>
      </c>
    </row>
    <row r="4524" spans="1:2" ht="12.9" x14ac:dyDescent="0.35">
      <c r="A4524" s="401">
        <v>44343</v>
      </c>
      <c r="B4524" s="403">
        <v>1.4567291521125001E+20</v>
      </c>
    </row>
    <row r="4525" spans="1:2" ht="12.9" x14ac:dyDescent="0.35">
      <c r="A4525" s="401">
        <v>44344</v>
      </c>
      <c r="B4525" s="403">
        <v>1.48163050514007E+20</v>
      </c>
    </row>
    <row r="4526" spans="1:2" ht="12.9" x14ac:dyDescent="0.35">
      <c r="A4526" s="401">
        <v>44345</v>
      </c>
      <c r="B4526" s="403">
        <v>1.44427847559872E+20</v>
      </c>
    </row>
    <row r="4527" spans="1:2" ht="12.9" x14ac:dyDescent="0.35">
      <c r="A4527" s="401">
        <v>44346</v>
      </c>
      <c r="B4527" s="403">
        <v>1.5066552410616401E+20</v>
      </c>
    </row>
    <row r="4528" spans="1:2" ht="12.9" x14ac:dyDescent="0.35">
      <c r="A4528" s="401">
        <v>44347</v>
      </c>
      <c r="B4528" s="403">
        <v>1.4752665902061901E+20</v>
      </c>
    </row>
    <row r="4529" spans="1:2" ht="12.9" x14ac:dyDescent="0.35">
      <c r="A4529" s="401">
        <v>44348</v>
      </c>
      <c r="B4529" s="403">
        <v>1.48572947382467E+20</v>
      </c>
    </row>
    <row r="4530" spans="1:2" ht="12.9" x14ac:dyDescent="0.35">
      <c r="A4530" s="401">
        <v>44349</v>
      </c>
      <c r="B4530" s="403">
        <v>1.7368386806682799E+20</v>
      </c>
    </row>
    <row r="4531" spans="1:2" ht="12.9" x14ac:dyDescent="0.35">
      <c r="A4531" s="401">
        <v>44350</v>
      </c>
      <c r="B4531" s="403">
        <v>1.53804389191709E+20</v>
      </c>
    </row>
    <row r="4532" spans="1:2" ht="12.9" x14ac:dyDescent="0.35">
      <c r="A4532" s="401">
        <v>44351</v>
      </c>
      <c r="B4532" s="403">
        <v>1.3706377540213499E+20</v>
      </c>
    </row>
    <row r="4533" spans="1:2" ht="12.9" x14ac:dyDescent="0.35">
      <c r="A4533" s="401">
        <v>44352</v>
      </c>
      <c r="B4533" s="403">
        <v>1.3706377540213499E+20</v>
      </c>
    </row>
    <row r="4534" spans="1:2" ht="12.9" x14ac:dyDescent="0.35">
      <c r="A4534" s="401">
        <v>44353</v>
      </c>
      <c r="B4534" s="403">
        <v>1.5694325427725399E+20</v>
      </c>
    </row>
    <row r="4535" spans="1:2" ht="12.9" x14ac:dyDescent="0.35">
      <c r="A4535" s="401">
        <v>44354</v>
      </c>
      <c r="B4535" s="403">
        <v>1.39156352125832E+20</v>
      </c>
    </row>
    <row r="4536" spans="1:2" ht="12.9" x14ac:dyDescent="0.35">
      <c r="A4536" s="401">
        <v>44355</v>
      </c>
      <c r="B4536" s="403">
        <v>1.5589696591540601E+20</v>
      </c>
    </row>
    <row r="4537" spans="1:2" ht="12.9" x14ac:dyDescent="0.35">
      <c r="A4537" s="401">
        <v>44356</v>
      </c>
      <c r="B4537" s="403">
        <v>1.31832333592894E+20</v>
      </c>
    </row>
    <row r="4538" spans="1:2" ht="12.9" x14ac:dyDescent="0.35">
      <c r="A4538" s="401">
        <v>44357</v>
      </c>
      <c r="B4538" s="403">
        <v>1.2346202669810699E+20</v>
      </c>
    </row>
    <row r="4539" spans="1:2" ht="12.9" x14ac:dyDescent="0.35">
      <c r="A4539" s="401">
        <v>44358</v>
      </c>
      <c r="B4539" s="403">
        <v>1.09860277994078E+20</v>
      </c>
    </row>
    <row r="4540" spans="1:2" ht="12.9" x14ac:dyDescent="0.35">
      <c r="A4540" s="401">
        <v>44359</v>
      </c>
      <c r="B4540" s="403">
        <v>1.3811006376398401E+20</v>
      </c>
    </row>
    <row r="4541" spans="1:2" ht="12.9" x14ac:dyDescent="0.35">
      <c r="A4541" s="401">
        <v>44360</v>
      </c>
      <c r="B4541" s="403">
        <v>1.3811006376398401E+20</v>
      </c>
    </row>
    <row r="4542" spans="1:2" ht="12.9" x14ac:dyDescent="0.35">
      <c r="A4542" s="401">
        <v>44361</v>
      </c>
      <c r="B4542" s="403">
        <v>1.3376669621889901E+20</v>
      </c>
    </row>
    <row r="4543" spans="1:2" ht="12.9" x14ac:dyDescent="0.35">
      <c r="A4543" s="401">
        <v>44362</v>
      </c>
      <c r="B4543" s="403">
        <v>1.2980323855315399E+20</v>
      </c>
    </row>
    <row r="4544" spans="1:2" ht="12.9" x14ac:dyDescent="0.35">
      <c r="A4544" s="401">
        <v>44363</v>
      </c>
      <c r="B4544" s="403">
        <v>1.2187632322166401E+20</v>
      </c>
    </row>
    <row r="4545" spans="1:2" ht="12.9" x14ac:dyDescent="0.35">
      <c r="A4545" s="401">
        <v>44364</v>
      </c>
      <c r="B4545" s="403">
        <v>1.28812374136718E+20</v>
      </c>
    </row>
    <row r="4546" spans="1:2" ht="12.9" x14ac:dyDescent="0.35">
      <c r="A4546" s="401">
        <v>44365</v>
      </c>
      <c r="B4546" s="403">
        <v>1.228671876381E+20</v>
      </c>
    </row>
    <row r="4547" spans="1:2" ht="12.9" x14ac:dyDescent="0.35">
      <c r="A4547" s="401">
        <v>44366</v>
      </c>
      <c r="B4547" s="403">
        <v>1.02059034892938E+20</v>
      </c>
    </row>
    <row r="4548" spans="1:2" ht="12.9" x14ac:dyDescent="0.35">
      <c r="A4548" s="401">
        <v>44367</v>
      </c>
      <c r="B4548" s="403">
        <v>1.0404076372581001E+20</v>
      </c>
    </row>
    <row r="4549" spans="1:2" ht="12.9" x14ac:dyDescent="0.35">
      <c r="A4549" s="401">
        <v>44368</v>
      </c>
      <c r="B4549" s="403">
        <v>1.0404076372581001E+20</v>
      </c>
    </row>
    <row r="4550" spans="1:2" ht="12.9" x14ac:dyDescent="0.35">
      <c r="A4550" s="401">
        <v>44369</v>
      </c>
      <c r="B4550" s="403">
        <v>9.0168661895702594E+19</v>
      </c>
    </row>
    <row r="4551" spans="1:2" ht="12.9" x14ac:dyDescent="0.35">
      <c r="A4551" s="401">
        <v>44370</v>
      </c>
      <c r="B4551" s="403">
        <v>1.00077306060065E+20</v>
      </c>
    </row>
    <row r="4552" spans="1:2" ht="12.9" x14ac:dyDescent="0.35">
      <c r="A4552" s="401">
        <v>44371</v>
      </c>
      <c r="B4552" s="403">
        <v>1.0404076372581001E+20</v>
      </c>
    </row>
    <row r="4553" spans="1:2" ht="12.9" x14ac:dyDescent="0.35">
      <c r="A4553" s="401">
        <v>44372</v>
      </c>
      <c r="B4553" s="403">
        <v>1.08995085807992E+20</v>
      </c>
    </row>
    <row r="4554" spans="1:2" ht="12.9" x14ac:dyDescent="0.35">
      <c r="A4554" s="401">
        <v>44373</v>
      </c>
      <c r="B4554" s="403">
        <v>8.8186933062829998E+19</v>
      </c>
    </row>
    <row r="4555" spans="1:2" ht="12.9" x14ac:dyDescent="0.35">
      <c r="A4555" s="401">
        <v>44374</v>
      </c>
      <c r="B4555" s="403">
        <v>5.74701361533049E+19</v>
      </c>
    </row>
    <row r="4556" spans="1:2" ht="12.9" x14ac:dyDescent="0.35">
      <c r="A4556" s="401">
        <v>44375</v>
      </c>
      <c r="B4556" s="403">
        <v>8.7196068646393692E+19</v>
      </c>
    </row>
    <row r="4557" spans="1:2" ht="12.9" x14ac:dyDescent="0.35">
      <c r="A4557" s="401">
        <v>44376</v>
      </c>
      <c r="B4557" s="403">
        <v>8.9177797479266304E+19</v>
      </c>
    </row>
    <row r="4558" spans="1:2" ht="12.9" x14ac:dyDescent="0.35">
      <c r="A4558" s="401">
        <v>44377</v>
      </c>
      <c r="B4558" s="403">
        <v>8.7196068646393692E+19</v>
      </c>
    </row>
    <row r="4559" spans="1:2" ht="12.9" x14ac:dyDescent="0.35">
      <c r="A4559" s="401">
        <v>44378</v>
      </c>
      <c r="B4559" s="403">
        <v>9.5122983977884107E+19</v>
      </c>
    </row>
    <row r="4560" spans="1:2" ht="12.9" x14ac:dyDescent="0.35">
      <c r="A4560" s="401">
        <v>44379</v>
      </c>
      <c r="B4560" s="403">
        <v>8.9177797479266304E+19</v>
      </c>
    </row>
    <row r="4561" spans="1:2" ht="12.9" x14ac:dyDescent="0.35">
      <c r="A4561" s="401">
        <v>44380</v>
      </c>
      <c r="B4561" s="403">
        <v>9.0676714624736002E+19</v>
      </c>
    </row>
    <row r="4562" spans="1:2" ht="12.9" x14ac:dyDescent="0.35">
      <c r="A4562" s="401">
        <v>44381</v>
      </c>
      <c r="B4562" s="403">
        <v>8.21088360775168E+19</v>
      </c>
    </row>
    <row r="4563" spans="1:2" ht="12.9" x14ac:dyDescent="0.35">
      <c r="A4563" s="401">
        <v>44382</v>
      </c>
      <c r="B4563" s="403">
        <v>9.42466640194106E+19</v>
      </c>
    </row>
    <row r="4564" spans="1:2" ht="12.9" x14ac:dyDescent="0.35">
      <c r="A4564" s="401">
        <v>44383</v>
      </c>
      <c r="B4564" s="403">
        <v>1.0138656280875899E+20</v>
      </c>
    </row>
    <row r="4565" spans="1:2" ht="12.9" x14ac:dyDescent="0.35">
      <c r="A4565" s="401">
        <v>44384</v>
      </c>
      <c r="B4565" s="403">
        <v>8.7820755108996301E+19</v>
      </c>
    </row>
    <row r="4566" spans="1:2" ht="12.9" x14ac:dyDescent="0.35">
      <c r="A4566" s="401">
        <v>44385</v>
      </c>
      <c r="B4566" s="403">
        <v>9.9244593171955106E+19</v>
      </c>
    </row>
    <row r="4567" spans="1:2" ht="12.9" x14ac:dyDescent="0.35">
      <c r="A4567" s="401">
        <v>44386</v>
      </c>
      <c r="B4567" s="403">
        <v>9.3532674140475703E+19</v>
      </c>
    </row>
    <row r="4568" spans="1:2" ht="12.9" x14ac:dyDescent="0.35">
      <c r="A4568" s="401">
        <v>44387</v>
      </c>
      <c r="B4568" s="403">
        <v>1.14952370508523E+20</v>
      </c>
    </row>
    <row r="4569" spans="1:2" ht="12.9" x14ac:dyDescent="0.35">
      <c r="A4569" s="401">
        <v>44388</v>
      </c>
      <c r="B4569" s="403">
        <v>8.9248734866866094E+19</v>
      </c>
    </row>
    <row r="4570" spans="1:2" ht="12.9" x14ac:dyDescent="0.35">
      <c r="A4570" s="401">
        <v>44389</v>
      </c>
      <c r="B4570" s="403">
        <v>8.9962724745801105E+19</v>
      </c>
    </row>
    <row r="4571" spans="1:2" ht="12.9" x14ac:dyDescent="0.35">
      <c r="A4571" s="401">
        <v>44390</v>
      </c>
      <c r="B4571" s="403">
        <v>9.7102623535150399E+19</v>
      </c>
    </row>
    <row r="4572" spans="1:2" ht="12.9" x14ac:dyDescent="0.35">
      <c r="A4572" s="401">
        <v>44391</v>
      </c>
      <c r="B4572" s="403">
        <v>1.21378279418938E+20</v>
      </c>
    </row>
    <row r="4573" spans="1:2" ht="12.9" x14ac:dyDescent="0.35">
      <c r="A4573" s="401">
        <v>44392</v>
      </c>
      <c r="B4573" s="403">
        <v>9.1390704503670899E+19</v>
      </c>
    </row>
    <row r="4574" spans="1:2" ht="12.9" x14ac:dyDescent="0.35">
      <c r="A4574" s="401">
        <v>44393</v>
      </c>
      <c r="B4574" s="403">
        <v>1.07098481840239E+20</v>
      </c>
    </row>
    <row r="4575" spans="1:2" ht="12.9" x14ac:dyDescent="0.35">
      <c r="A4575" s="401">
        <v>44394</v>
      </c>
      <c r="B4575" s="403">
        <v>1.02100552687694E+20</v>
      </c>
    </row>
    <row r="4576" spans="1:2" ht="12.9" x14ac:dyDescent="0.35">
      <c r="A4576" s="401">
        <v>44395</v>
      </c>
      <c r="B4576" s="403">
        <v>9.7872242088689304E+19</v>
      </c>
    </row>
    <row r="4577" spans="1:2" ht="12.9" x14ac:dyDescent="0.35">
      <c r="A4577" s="401">
        <v>44396</v>
      </c>
      <c r="B4577" s="403">
        <v>1.1554361913248E+20</v>
      </c>
    </row>
    <row r="4578" spans="1:2" ht="12.9" x14ac:dyDescent="0.35">
      <c r="A4578" s="401">
        <v>44397</v>
      </c>
      <c r="B4578" s="403">
        <v>8.2919538436250698E+19</v>
      </c>
    </row>
    <row r="4579" spans="1:2" ht="12.9" x14ac:dyDescent="0.35">
      <c r="A4579" s="401">
        <v>44398</v>
      </c>
      <c r="B4579" s="403">
        <v>9.8551910436527505E+19</v>
      </c>
    </row>
    <row r="4580" spans="1:2" ht="12.9" x14ac:dyDescent="0.35">
      <c r="A4580" s="401">
        <v>44399</v>
      </c>
      <c r="B4580" s="403">
        <v>1.0398925721923201E+20</v>
      </c>
    </row>
    <row r="4581" spans="1:2" ht="12.9" x14ac:dyDescent="0.35">
      <c r="A4581" s="401">
        <v>44400</v>
      </c>
      <c r="B4581" s="403">
        <v>9.1755226958146306E+19</v>
      </c>
    </row>
    <row r="4582" spans="1:2" ht="12.9" x14ac:dyDescent="0.35">
      <c r="A4582" s="401">
        <v>44401</v>
      </c>
      <c r="B4582" s="403">
        <v>1.0466892556707E+20</v>
      </c>
    </row>
    <row r="4583" spans="1:2" ht="12.9" x14ac:dyDescent="0.35">
      <c r="A4583" s="401">
        <v>44402</v>
      </c>
      <c r="B4583" s="403">
        <v>1.0398925721923201E+20</v>
      </c>
    </row>
    <row r="4584" spans="1:2" ht="12.9" x14ac:dyDescent="0.35">
      <c r="A4584" s="401">
        <v>44403</v>
      </c>
      <c r="B4584" s="403">
        <v>1.0195025217571801E+20</v>
      </c>
    </row>
    <row r="4585" spans="1:2" ht="12.9" x14ac:dyDescent="0.35">
      <c r="A4585" s="401">
        <v>44404</v>
      </c>
      <c r="B4585" s="403">
        <v>1.1554361913248E+20</v>
      </c>
    </row>
    <row r="4586" spans="1:2" ht="12.9" x14ac:dyDescent="0.35">
      <c r="A4586" s="401">
        <v>44405</v>
      </c>
      <c r="B4586" s="403">
        <v>1.0670793061058399E+20</v>
      </c>
    </row>
    <row r="4587" spans="1:2" ht="12.9" x14ac:dyDescent="0.35">
      <c r="A4587" s="401">
        <v>44406</v>
      </c>
      <c r="B4587" s="403">
        <v>1.0874693565409899E+20</v>
      </c>
    </row>
    <row r="4588" spans="1:2" ht="12.9" x14ac:dyDescent="0.35">
      <c r="A4588" s="401">
        <v>44407</v>
      </c>
      <c r="B4588" s="403">
        <v>1.1282494574112801E+20</v>
      </c>
    </row>
    <row r="4589" spans="1:2" ht="12.9" x14ac:dyDescent="0.35">
      <c r="A4589" s="401">
        <v>44408</v>
      </c>
      <c r="B4589" s="403">
        <v>1.13858289123422E+20</v>
      </c>
    </row>
    <row r="4590" spans="1:2" ht="12.9" x14ac:dyDescent="0.35">
      <c r="A4590" s="401">
        <v>44409</v>
      </c>
      <c r="B4590" s="403">
        <v>1.10975800791183E+20</v>
      </c>
    </row>
    <row r="4591" spans="1:2" ht="12.9" x14ac:dyDescent="0.35">
      <c r="A4591" s="401">
        <v>44410</v>
      </c>
      <c r="B4591" s="403">
        <v>1.03048957877527E+20</v>
      </c>
    </row>
    <row r="4592" spans="1:2" ht="12.9" x14ac:dyDescent="0.35">
      <c r="A4592" s="401">
        <v>44411</v>
      </c>
      <c r="B4592" s="403">
        <v>1.2178513203707699E+20</v>
      </c>
    </row>
    <row r="4593" spans="1:2" ht="12.9" x14ac:dyDescent="0.35">
      <c r="A4593" s="401">
        <v>44412</v>
      </c>
      <c r="B4593" s="403">
        <v>9.80046032961101E+19</v>
      </c>
    </row>
    <row r="4594" spans="1:2" ht="12.9" x14ac:dyDescent="0.35">
      <c r="A4594" s="401">
        <v>44413</v>
      </c>
      <c r="B4594" s="403">
        <v>1.1529953328954099E+20</v>
      </c>
    </row>
    <row r="4595" spans="1:2" ht="12.9" x14ac:dyDescent="0.35">
      <c r="A4595" s="401">
        <v>44414</v>
      </c>
      <c r="B4595" s="403">
        <v>1.14578911206481E+20</v>
      </c>
    </row>
    <row r="4596" spans="1:2" ht="12.9" x14ac:dyDescent="0.35">
      <c r="A4596" s="401">
        <v>44415</v>
      </c>
      <c r="B4596" s="403">
        <v>1.2034388787095799E+20</v>
      </c>
    </row>
    <row r="4597" spans="1:2" ht="12.9" x14ac:dyDescent="0.35">
      <c r="A4597" s="401">
        <v>44416</v>
      </c>
      <c r="B4597" s="403">
        <v>1.13858289123422E+20</v>
      </c>
    </row>
    <row r="4598" spans="1:2" ht="12.9" x14ac:dyDescent="0.35">
      <c r="A4598" s="401">
        <v>44417</v>
      </c>
      <c r="B4598" s="403">
        <v>1.09534556625064E+20</v>
      </c>
    </row>
    <row r="4599" spans="1:2" ht="12.9" x14ac:dyDescent="0.35">
      <c r="A4599" s="401">
        <v>44418</v>
      </c>
      <c r="B4599" s="403">
        <v>1.18902643704839E+20</v>
      </c>
    </row>
    <row r="4600" spans="1:2" ht="12.9" x14ac:dyDescent="0.35">
      <c r="A4600" s="401">
        <v>44419</v>
      </c>
      <c r="B4600" s="403">
        <v>1.05931446209766E+20</v>
      </c>
    </row>
    <row r="4601" spans="1:2" ht="12.9" x14ac:dyDescent="0.35">
      <c r="A4601" s="401">
        <v>44420</v>
      </c>
      <c r="B4601" s="403">
        <v>1.0881393454200399E+20</v>
      </c>
    </row>
    <row r="4602" spans="1:2" ht="12.9" x14ac:dyDescent="0.35">
      <c r="A4602" s="401">
        <v>44421</v>
      </c>
      <c r="B4602" s="403">
        <v>1.0980826105889001E+20</v>
      </c>
    </row>
    <row r="4603" spans="1:2" ht="12.9" x14ac:dyDescent="0.35">
      <c r="A4603" s="401">
        <v>44422</v>
      </c>
      <c r="B4603" s="403">
        <v>1.2682080854688801E+20</v>
      </c>
    </row>
    <row r="4604" spans="1:2" ht="12.9" x14ac:dyDescent="0.35">
      <c r="A4604" s="401">
        <v>44423</v>
      </c>
      <c r="B4604" s="403">
        <v>1.4074016558252201E+20</v>
      </c>
    </row>
    <row r="4605" spans="1:2" ht="12.9" x14ac:dyDescent="0.35">
      <c r="A4605" s="401">
        <v>44424</v>
      </c>
      <c r="B4605" s="403">
        <v>1.24500915707615E+20</v>
      </c>
    </row>
    <row r="4606" spans="1:2" ht="12.9" x14ac:dyDescent="0.35">
      <c r="A4606" s="401">
        <v>44425</v>
      </c>
      <c r="B4606" s="403">
        <v>1.33007189451614E+20</v>
      </c>
    </row>
    <row r="4607" spans="1:2" ht="12.9" x14ac:dyDescent="0.35">
      <c r="A4607" s="401">
        <v>44426</v>
      </c>
      <c r="B4607" s="403">
        <v>1.04395177767255E+20</v>
      </c>
    </row>
    <row r="4608" spans="1:2" ht="12.9" x14ac:dyDescent="0.35">
      <c r="A4608" s="401">
        <v>44427</v>
      </c>
      <c r="B4608" s="403">
        <v>1.1908783241598E+20</v>
      </c>
    </row>
    <row r="4609" spans="1:2" ht="12.9" x14ac:dyDescent="0.35">
      <c r="A4609" s="401">
        <v>44428</v>
      </c>
      <c r="B4609" s="403">
        <v>1.2372761809452501E+20</v>
      </c>
    </row>
    <row r="4610" spans="1:2" ht="12.9" x14ac:dyDescent="0.35">
      <c r="A4610" s="401">
        <v>44429</v>
      </c>
      <c r="B4610" s="403">
        <v>1.31460594225432E+20</v>
      </c>
    </row>
    <row r="4611" spans="1:2" ht="12.9" x14ac:dyDescent="0.35">
      <c r="A4611" s="401">
        <v>44430</v>
      </c>
      <c r="B4611" s="403">
        <v>1.2682080854688801E+20</v>
      </c>
    </row>
    <row r="4612" spans="1:2" ht="12.9" x14ac:dyDescent="0.35">
      <c r="A4612" s="401">
        <v>44431</v>
      </c>
      <c r="B4612" s="403">
        <v>1.5233962977888299E+20</v>
      </c>
    </row>
    <row r="4613" spans="1:2" ht="12.9" x14ac:dyDescent="0.35">
      <c r="A4613" s="401">
        <v>44432</v>
      </c>
      <c r="B4613" s="403">
        <v>1.1908783241598E+20</v>
      </c>
    </row>
    <row r="4614" spans="1:2" ht="12.9" x14ac:dyDescent="0.35">
      <c r="A4614" s="401">
        <v>44433</v>
      </c>
      <c r="B4614" s="403">
        <v>1.2372761809452501E+20</v>
      </c>
    </row>
    <row r="4615" spans="1:2" ht="12.9" x14ac:dyDescent="0.35">
      <c r="A4615" s="401">
        <v>44434</v>
      </c>
      <c r="B4615" s="403">
        <v>1.27844614119938E+20</v>
      </c>
    </row>
    <row r="4616" spans="1:2" ht="12.9" x14ac:dyDescent="0.35">
      <c r="A4616" s="401">
        <v>44435</v>
      </c>
      <c r="B4616" s="403">
        <v>1.27844614119938E+20</v>
      </c>
    </row>
    <row r="4617" spans="1:2" ht="12.9" x14ac:dyDescent="0.35">
      <c r="A4617" s="401">
        <v>44436</v>
      </c>
      <c r="B4617" s="403">
        <v>1.23466373910351E+20</v>
      </c>
    </row>
    <row r="4618" spans="1:2" ht="12.9" x14ac:dyDescent="0.35">
      <c r="A4618" s="401">
        <v>44437</v>
      </c>
      <c r="B4618" s="403">
        <v>1.3660109453911201E+20</v>
      </c>
    </row>
    <row r="4619" spans="1:2" ht="12.9" x14ac:dyDescent="0.35">
      <c r="A4619" s="401">
        <v>44438</v>
      </c>
      <c r="B4619" s="403">
        <v>1.18212485658847E+20</v>
      </c>
    </row>
    <row r="4620" spans="1:2" ht="12.9" x14ac:dyDescent="0.35">
      <c r="A4620" s="401">
        <v>44439</v>
      </c>
      <c r="B4620" s="403">
        <v>1.26093318036103E+20</v>
      </c>
    </row>
    <row r="4621" spans="1:2" ht="12.9" x14ac:dyDescent="0.35">
      <c r="A4621" s="401">
        <v>44440</v>
      </c>
      <c r="B4621" s="403">
        <v>1.19963781742682E+20</v>
      </c>
    </row>
    <row r="4622" spans="1:2" ht="12.9" x14ac:dyDescent="0.35">
      <c r="A4622" s="401">
        <v>44441</v>
      </c>
      <c r="B4622" s="403">
        <v>1.3047155824569E+20</v>
      </c>
    </row>
    <row r="4623" spans="1:2" ht="12.9" x14ac:dyDescent="0.35">
      <c r="A4623" s="401">
        <v>44442</v>
      </c>
      <c r="B4623" s="403">
        <v>1.2959591020377299E+20</v>
      </c>
    </row>
    <row r="4624" spans="1:2" ht="12.9" x14ac:dyDescent="0.35">
      <c r="A4624" s="401">
        <v>44443</v>
      </c>
      <c r="B4624" s="403">
        <v>1.35725446497195E+20</v>
      </c>
    </row>
    <row r="4625" spans="1:2" ht="12.9" x14ac:dyDescent="0.35">
      <c r="A4625" s="401">
        <v>44444</v>
      </c>
      <c r="B4625" s="403">
        <v>1.43606278874451E+20</v>
      </c>
    </row>
    <row r="4626" spans="1:2" ht="12.9" x14ac:dyDescent="0.35">
      <c r="A4626" s="401">
        <v>44445</v>
      </c>
      <c r="B4626" s="403">
        <v>1.5061146320979001E+20</v>
      </c>
    </row>
    <row r="4627" spans="1:2" ht="12.9" x14ac:dyDescent="0.35">
      <c r="A4627" s="401">
        <v>44446</v>
      </c>
      <c r="B4627" s="403">
        <v>1.3397415041336001E+20</v>
      </c>
    </row>
    <row r="4628" spans="1:2" ht="12.9" x14ac:dyDescent="0.35">
      <c r="A4628" s="401">
        <v>44447</v>
      </c>
      <c r="B4628" s="403">
        <v>1.2998998241830401E+20</v>
      </c>
    </row>
    <row r="4629" spans="1:2" ht="12.9" x14ac:dyDescent="0.35">
      <c r="A4629" s="401">
        <v>44448</v>
      </c>
      <c r="B4629" s="403">
        <v>1.25412870361322E+20</v>
      </c>
    </row>
    <row r="4630" spans="1:2" ht="12.9" x14ac:dyDescent="0.35">
      <c r="A4630" s="401">
        <v>44449</v>
      </c>
      <c r="B4630" s="403">
        <v>1.2449744794992501E+20</v>
      </c>
    </row>
    <row r="4631" spans="1:2" ht="12.9" x14ac:dyDescent="0.35">
      <c r="A4631" s="401">
        <v>44450</v>
      </c>
      <c r="B4631" s="403">
        <v>1.3548251688668399E+20</v>
      </c>
    </row>
    <row r="4632" spans="1:2" ht="12.9" x14ac:dyDescent="0.35">
      <c r="A4632" s="401">
        <v>44451</v>
      </c>
      <c r="B4632" s="403">
        <v>1.34567094475287E+20</v>
      </c>
    </row>
    <row r="4633" spans="1:2" ht="12.9" x14ac:dyDescent="0.35">
      <c r="A4633" s="401">
        <v>44452</v>
      </c>
      <c r="B4633" s="403">
        <v>1.45552163412045E+20</v>
      </c>
    </row>
    <row r="4634" spans="1:2" ht="12.9" x14ac:dyDescent="0.35">
      <c r="A4634" s="401">
        <v>44453</v>
      </c>
      <c r="B4634" s="403">
        <v>1.5379096511461399E+20</v>
      </c>
    </row>
    <row r="4635" spans="1:2" ht="12.9" x14ac:dyDescent="0.35">
      <c r="A4635" s="401">
        <v>44454</v>
      </c>
      <c r="B4635" s="403">
        <v>1.2998998241830401E+20</v>
      </c>
    </row>
    <row r="4636" spans="1:2" ht="12.9" x14ac:dyDescent="0.35">
      <c r="A4636" s="401">
        <v>44455</v>
      </c>
      <c r="B4636" s="403">
        <v>1.2449744794992501E+20</v>
      </c>
    </row>
    <row r="4637" spans="1:2" ht="12.9" x14ac:dyDescent="0.35">
      <c r="A4637" s="401">
        <v>44456</v>
      </c>
      <c r="B4637" s="403">
        <v>1.34567094475287E+20</v>
      </c>
    </row>
    <row r="4638" spans="1:2" ht="12.9" x14ac:dyDescent="0.35">
      <c r="A4638" s="401">
        <v>44457</v>
      </c>
      <c r="B4638" s="403">
        <v>1.41890473766459E+20</v>
      </c>
    </row>
    <row r="4639" spans="1:2" ht="12.9" x14ac:dyDescent="0.35">
      <c r="A4639" s="401">
        <v>44458</v>
      </c>
      <c r="B4639" s="403">
        <v>1.4646758582344199E+20</v>
      </c>
    </row>
    <row r="4640" spans="1:2" ht="12.9" x14ac:dyDescent="0.35">
      <c r="A4640" s="401">
        <v>44459</v>
      </c>
      <c r="B4640" s="403">
        <v>1.50129275469028E+20</v>
      </c>
    </row>
    <row r="4641" spans="1:2" ht="12.9" x14ac:dyDescent="0.35">
      <c r="A4641" s="401">
        <v>44460</v>
      </c>
      <c r="B4641" s="403">
        <v>1.12596956601771E+20</v>
      </c>
    </row>
    <row r="4642" spans="1:2" ht="12.9" x14ac:dyDescent="0.35">
      <c r="A4642" s="401">
        <v>44461</v>
      </c>
      <c r="B4642" s="403">
        <v>1.2654663384005E+20</v>
      </c>
    </row>
    <row r="4643" spans="1:2" ht="12.9" x14ac:dyDescent="0.35">
      <c r="A4643" s="401">
        <v>44462</v>
      </c>
      <c r="B4643" s="403">
        <v>1.55822347638867E+20</v>
      </c>
    </row>
    <row r="4644" spans="1:2" ht="12.9" x14ac:dyDescent="0.35">
      <c r="A4644" s="401">
        <v>44463</v>
      </c>
      <c r="B4644" s="403">
        <v>1.39767923942742E+20</v>
      </c>
    </row>
    <row r="4645" spans="1:2" ht="12.9" x14ac:dyDescent="0.35">
      <c r="A4645" s="401">
        <v>44464</v>
      </c>
      <c r="B4645" s="403">
        <v>1.3599041248483E+20</v>
      </c>
    </row>
    <row r="4646" spans="1:2" ht="12.9" x14ac:dyDescent="0.35">
      <c r="A4646" s="401">
        <v>44465</v>
      </c>
      <c r="B4646" s="403">
        <v>1.3126852316244001E+20</v>
      </c>
    </row>
    <row r="4647" spans="1:2" ht="12.9" x14ac:dyDescent="0.35">
      <c r="A4647" s="401">
        <v>44466</v>
      </c>
      <c r="B4647" s="403">
        <v>1.4637856899408799E+20</v>
      </c>
    </row>
    <row r="4648" spans="1:2" ht="12.9" x14ac:dyDescent="0.35">
      <c r="A4648" s="401">
        <v>44467</v>
      </c>
      <c r="B4648" s="403">
        <v>1.43545435400654E+20</v>
      </c>
    </row>
    <row r="4649" spans="1:2" ht="12.9" x14ac:dyDescent="0.35">
      <c r="A4649" s="401">
        <v>44468</v>
      </c>
      <c r="B4649" s="403">
        <v>1.22769122382138E+20</v>
      </c>
    </row>
    <row r="4650" spans="1:2" ht="12.9" x14ac:dyDescent="0.35">
      <c r="A4650" s="401">
        <v>44469</v>
      </c>
      <c r="B4650" s="403">
        <v>1.61488614825735E+20</v>
      </c>
    </row>
    <row r="4651" spans="1:2" ht="12.9" x14ac:dyDescent="0.35">
      <c r="A4651" s="401">
        <v>44470</v>
      </c>
      <c r="B4651" s="403">
        <v>1.3221290102691801E+20</v>
      </c>
    </row>
    <row r="4652" spans="1:2" ht="12.9" x14ac:dyDescent="0.35">
      <c r="A4652" s="401">
        <v>44471</v>
      </c>
      <c r="B4652" s="403">
        <v>1.7754303852186101E+20</v>
      </c>
    </row>
    <row r="4653" spans="1:2" ht="12.9" x14ac:dyDescent="0.35">
      <c r="A4653" s="401">
        <v>44472</v>
      </c>
      <c r="B4653" s="403">
        <v>1.41656679671698E+20</v>
      </c>
    </row>
    <row r="4654" spans="1:2" ht="12.9" x14ac:dyDescent="0.35">
      <c r="A4654" s="401">
        <v>44473</v>
      </c>
      <c r="B4654" s="403">
        <v>1.4732294685856599E+20</v>
      </c>
    </row>
    <row r="4655" spans="1:2" ht="12.9" x14ac:dyDescent="0.35">
      <c r="A4655" s="401">
        <v>44474</v>
      </c>
      <c r="B4655" s="403">
        <v>1.6217773583152198E+20</v>
      </c>
    </row>
    <row r="4656" spans="1:2" ht="12.9" x14ac:dyDescent="0.35">
      <c r="A4656" s="401">
        <v>44475</v>
      </c>
      <c r="B4656" s="403">
        <v>1.29544410938594E+20</v>
      </c>
    </row>
    <row r="4657" spans="1:2" ht="12.9" x14ac:dyDescent="0.35">
      <c r="A4657" s="401">
        <v>44476</v>
      </c>
      <c r="B4657" s="403">
        <v>1.39433297269784E+20</v>
      </c>
    </row>
    <row r="4658" spans="1:2" ht="12.9" x14ac:dyDescent="0.35">
      <c r="A4658" s="401">
        <v>44477</v>
      </c>
      <c r="B4658" s="403">
        <v>1.18666635974284E+20</v>
      </c>
    </row>
    <row r="4659" spans="1:2" ht="12.9" x14ac:dyDescent="0.35">
      <c r="A4659" s="401">
        <v>44478</v>
      </c>
      <c r="B4659" s="403">
        <v>1.4833329496785499E+20</v>
      </c>
    </row>
    <row r="4660" spans="1:2" ht="12.9" x14ac:dyDescent="0.35">
      <c r="A4660" s="401">
        <v>44479</v>
      </c>
      <c r="B4660" s="403">
        <v>1.5723329266592701E+20</v>
      </c>
    </row>
    <row r="4661" spans="1:2" ht="12.9" x14ac:dyDescent="0.35">
      <c r="A4661" s="401">
        <v>44480</v>
      </c>
      <c r="B4661" s="403">
        <v>1.44377740435379E+20</v>
      </c>
    </row>
    <row r="4662" spans="1:2" ht="12.9" x14ac:dyDescent="0.35">
      <c r="A4662" s="401">
        <v>44481</v>
      </c>
      <c r="B4662" s="403">
        <v>1.32511076837951E+20</v>
      </c>
    </row>
    <row r="4663" spans="1:2" ht="12.9" x14ac:dyDescent="0.35">
      <c r="A4663" s="401">
        <v>44482</v>
      </c>
      <c r="B4663" s="403">
        <v>1.6712217899711699E+20</v>
      </c>
    </row>
    <row r="4664" spans="1:2" ht="12.9" x14ac:dyDescent="0.35">
      <c r="A4664" s="401">
        <v>44483</v>
      </c>
      <c r="B4664" s="403">
        <v>1.3547774273730799E+20</v>
      </c>
    </row>
    <row r="4665" spans="1:2" ht="12.9" x14ac:dyDescent="0.35">
      <c r="A4665" s="401">
        <v>44484</v>
      </c>
      <c r="B4665" s="403">
        <v>1.39433297269784E+20</v>
      </c>
    </row>
    <row r="4666" spans="1:2" ht="12.9" x14ac:dyDescent="0.35">
      <c r="A4666" s="401">
        <v>44485</v>
      </c>
      <c r="B4666" s="403">
        <v>1.31522188204832E+20</v>
      </c>
    </row>
    <row r="4667" spans="1:2" ht="12.9" x14ac:dyDescent="0.35">
      <c r="A4667" s="401">
        <v>44486</v>
      </c>
      <c r="B4667" s="403">
        <v>1.5822218129904599E+20</v>
      </c>
    </row>
    <row r="4668" spans="1:2" ht="12.9" x14ac:dyDescent="0.35">
      <c r="A4668" s="401">
        <v>44487</v>
      </c>
      <c r="B4668" s="403">
        <v>1.4635551770161699E+20</v>
      </c>
    </row>
    <row r="4669" spans="1:2" ht="12.9" x14ac:dyDescent="0.35">
      <c r="A4669" s="401">
        <v>44488</v>
      </c>
      <c r="B4669" s="403">
        <v>1.5473719872913202E+20</v>
      </c>
    </row>
    <row r="4670" spans="1:2" ht="12.9" x14ac:dyDescent="0.35">
      <c r="A4670" s="401">
        <v>44489</v>
      </c>
      <c r="B4670" s="403">
        <v>1.4874737168155299E+20</v>
      </c>
    </row>
    <row r="4671" spans="1:2" ht="12.9" x14ac:dyDescent="0.35">
      <c r="A4671" s="401">
        <v>44490</v>
      </c>
      <c r="B4671" s="403">
        <v>1.4774906717362301E+20</v>
      </c>
    </row>
    <row r="4672" spans="1:2" ht="12.9" x14ac:dyDescent="0.35">
      <c r="A4672" s="401">
        <v>44491</v>
      </c>
      <c r="B4672" s="403">
        <v>1.57732112252922E+20</v>
      </c>
    </row>
    <row r="4673" spans="1:2" ht="12.9" x14ac:dyDescent="0.35">
      <c r="A4673" s="401">
        <v>44492</v>
      </c>
      <c r="B4673" s="403">
        <v>1.44754153649833E+20</v>
      </c>
    </row>
    <row r="4674" spans="1:2" ht="12.9" x14ac:dyDescent="0.35">
      <c r="A4674" s="401">
        <v>44493</v>
      </c>
      <c r="B4674" s="403">
        <v>1.5274058971327201E+20</v>
      </c>
    </row>
    <row r="4675" spans="1:2" ht="12.9" x14ac:dyDescent="0.35">
      <c r="A4675" s="401">
        <v>44494</v>
      </c>
      <c r="B4675" s="403">
        <v>1.8169142044323899E+20</v>
      </c>
    </row>
    <row r="4676" spans="1:2" ht="12.9" x14ac:dyDescent="0.35">
      <c r="A4676" s="401">
        <v>44495</v>
      </c>
      <c r="B4676" s="403">
        <v>1.4974567618948301E+20</v>
      </c>
    </row>
    <row r="4677" spans="1:2" ht="12.9" x14ac:dyDescent="0.35">
      <c r="A4677" s="401">
        <v>44496</v>
      </c>
      <c r="B4677" s="403">
        <v>1.5673380774499199E+20</v>
      </c>
    </row>
    <row r="4678" spans="1:2" ht="12.9" x14ac:dyDescent="0.35">
      <c r="A4678" s="401">
        <v>44497</v>
      </c>
      <c r="B4678" s="403">
        <v>1.5274058971327201E+20</v>
      </c>
    </row>
    <row r="4679" spans="1:2" ht="12.9" x14ac:dyDescent="0.35">
      <c r="A4679" s="401">
        <v>44498</v>
      </c>
      <c r="B4679" s="403">
        <v>1.7071007085601001E+20</v>
      </c>
    </row>
    <row r="4680" spans="1:2" ht="12.9" x14ac:dyDescent="0.35">
      <c r="A4680" s="401">
        <v>44499</v>
      </c>
      <c r="B4680" s="403">
        <v>1.5473719872913202E+20</v>
      </c>
    </row>
    <row r="4681" spans="1:2" ht="12.9" x14ac:dyDescent="0.35">
      <c r="A4681" s="401">
        <v>44500</v>
      </c>
      <c r="B4681" s="403">
        <v>1.3876432660225399E+20</v>
      </c>
    </row>
    <row r="4682" spans="1:2" ht="12.9" x14ac:dyDescent="0.35">
      <c r="A4682" s="401">
        <v>44501</v>
      </c>
      <c r="B4682" s="403">
        <v>1.5935039700608202E+20</v>
      </c>
    </row>
    <row r="4683" spans="1:2" ht="12.9" x14ac:dyDescent="0.35">
      <c r="A4683" s="401">
        <v>44502</v>
      </c>
      <c r="B4683" s="403">
        <v>1.7011731572270901E+20</v>
      </c>
    </row>
    <row r="4684" spans="1:2" ht="12.9" x14ac:dyDescent="0.35">
      <c r="A4684" s="401">
        <v>44503</v>
      </c>
      <c r="B4684" s="403">
        <v>1.73347391337698E+20</v>
      </c>
    </row>
    <row r="4685" spans="1:2" ht="12.9" x14ac:dyDescent="0.35">
      <c r="A4685" s="401">
        <v>44504</v>
      </c>
      <c r="B4685" s="403">
        <v>1.5396693764776899E+20</v>
      </c>
    </row>
    <row r="4686" spans="1:2" ht="12.9" x14ac:dyDescent="0.35">
      <c r="A4686" s="401">
        <v>44505</v>
      </c>
      <c r="B4686" s="403">
        <v>1.66887240107721E+20</v>
      </c>
    </row>
    <row r="4687" spans="1:2" ht="12.9" x14ac:dyDescent="0.35">
      <c r="A4687" s="401">
        <v>44506</v>
      </c>
      <c r="B4687" s="403">
        <v>1.6581054823605898E+20</v>
      </c>
    </row>
    <row r="4688" spans="1:2" ht="12.9" x14ac:dyDescent="0.35">
      <c r="A4688" s="401">
        <v>44507</v>
      </c>
      <c r="B4688" s="403">
        <v>1.6473385636439599E+20</v>
      </c>
    </row>
    <row r="4689" spans="1:2" ht="12.9" x14ac:dyDescent="0.35">
      <c r="A4689" s="401">
        <v>44508</v>
      </c>
      <c r="B4689" s="403">
        <v>1.45353402674467E+20</v>
      </c>
    </row>
    <row r="4690" spans="1:2" ht="12.9" x14ac:dyDescent="0.35">
      <c r="A4690" s="401">
        <v>44509</v>
      </c>
      <c r="B4690" s="403">
        <v>1.6365716449273299E+20</v>
      </c>
    </row>
    <row r="4691" spans="1:2" ht="12.9" x14ac:dyDescent="0.35">
      <c r="A4691" s="401">
        <v>44510</v>
      </c>
      <c r="B4691" s="403">
        <v>1.6042708887774501E+20</v>
      </c>
    </row>
    <row r="4692" spans="1:2" ht="12.9" x14ac:dyDescent="0.35">
      <c r="A4692" s="401">
        <v>44511</v>
      </c>
      <c r="B4692" s="403">
        <v>1.7011731572270901E+20</v>
      </c>
    </row>
    <row r="4693" spans="1:2" ht="12.9" x14ac:dyDescent="0.35">
      <c r="A4693" s="401">
        <v>44512</v>
      </c>
      <c r="B4693" s="403">
        <v>1.52890245776106E+20</v>
      </c>
    </row>
    <row r="4694" spans="1:2" ht="12.9" x14ac:dyDescent="0.35">
      <c r="A4694" s="401">
        <v>44513</v>
      </c>
      <c r="B4694" s="403">
        <v>1.6473385636439599E+20</v>
      </c>
    </row>
    <row r="4695" spans="1:2" ht="12.9" x14ac:dyDescent="0.35">
      <c r="A4695" s="401">
        <v>44514</v>
      </c>
      <c r="B4695" s="403">
        <v>1.7696066950222099E+20</v>
      </c>
    </row>
    <row r="4696" spans="1:2" ht="12.9" x14ac:dyDescent="0.35">
      <c r="A4696" s="401">
        <v>44515</v>
      </c>
      <c r="B4696" s="403">
        <v>1.7019784136837802E+20</v>
      </c>
    </row>
    <row r="4697" spans="1:2" ht="12.9" x14ac:dyDescent="0.35">
      <c r="A4697" s="401">
        <v>44516</v>
      </c>
      <c r="B4697" s="403">
        <v>1.6907070334607101E+20</v>
      </c>
    </row>
    <row r="4698" spans="1:2" ht="12.9" x14ac:dyDescent="0.35">
      <c r="A4698" s="401">
        <v>44517</v>
      </c>
      <c r="B4698" s="403">
        <v>1.6794356532376401E+20</v>
      </c>
    </row>
    <row r="4699" spans="1:2" ht="12.9" x14ac:dyDescent="0.35">
      <c r="A4699" s="401">
        <v>44518</v>
      </c>
      <c r="B4699" s="403">
        <v>1.62307875212228E+20</v>
      </c>
    </row>
    <row r="4700" spans="1:2" ht="12.9" x14ac:dyDescent="0.35">
      <c r="A4700" s="401">
        <v>44519</v>
      </c>
      <c r="B4700" s="403">
        <v>1.5441790905607799E+20</v>
      </c>
    </row>
    <row r="4701" spans="1:2" ht="12.9" x14ac:dyDescent="0.35">
      <c r="A4701" s="401">
        <v>44520</v>
      </c>
      <c r="B4701" s="403">
        <v>1.6343501323453501E+20</v>
      </c>
    </row>
    <row r="4702" spans="1:2" ht="12.9" x14ac:dyDescent="0.35">
      <c r="A4702" s="401">
        <v>44521</v>
      </c>
      <c r="B4702" s="403">
        <v>1.48782218944543E+20</v>
      </c>
    </row>
    <row r="4703" spans="1:2" ht="12.9" x14ac:dyDescent="0.35">
      <c r="A4703" s="401">
        <v>44522</v>
      </c>
      <c r="B4703" s="403">
        <v>1.5892646114530699E+20</v>
      </c>
    </row>
    <row r="4704" spans="1:2" ht="12.9" x14ac:dyDescent="0.35">
      <c r="A4704" s="401">
        <v>44523</v>
      </c>
      <c r="B4704" s="403">
        <v>1.48782218944543E+20</v>
      </c>
    </row>
    <row r="4705" spans="1:2" ht="12.9" x14ac:dyDescent="0.35">
      <c r="A4705" s="401">
        <v>44524</v>
      </c>
      <c r="B4705" s="403">
        <v>1.7696066950222099E+20</v>
      </c>
    </row>
    <row r="4706" spans="1:2" ht="12.9" x14ac:dyDescent="0.35">
      <c r="A4706" s="401">
        <v>44525</v>
      </c>
      <c r="B4706" s="403">
        <v>1.4652794289992801E+20</v>
      </c>
    </row>
    <row r="4707" spans="1:2" ht="12.9" x14ac:dyDescent="0.35">
      <c r="A4707" s="401">
        <v>44526</v>
      </c>
      <c r="B4707" s="403">
        <v>1.48782218944543E+20</v>
      </c>
    </row>
    <row r="4708" spans="1:2" ht="12.9" x14ac:dyDescent="0.35">
      <c r="A4708" s="401">
        <v>44527</v>
      </c>
      <c r="B4708" s="403">
        <v>1.61180737189921E+20</v>
      </c>
    </row>
    <row r="4709" spans="1:2" ht="12.9" x14ac:dyDescent="0.35">
      <c r="A4709" s="401">
        <v>44528</v>
      </c>
      <c r="B4709" s="403">
        <v>1.5433331860139599E+20</v>
      </c>
    </row>
    <row r="4710" spans="1:2" ht="12.9" x14ac:dyDescent="0.35">
      <c r="A4710" s="401">
        <v>44529</v>
      </c>
      <c r="B4710" s="403">
        <v>1.58774565179854E+20</v>
      </c>
    </row>
    <row r="4711" spans="1:2" ht="12.9" x14ac:dyDescent="0.35">
      <c r="A4711" s="401">
        <v>44530</v>
      </c>
      <c r="B4711" s="403">
        <v>1.4878176037832399E+20</v>
      </c>
    </row>
    <row r="4712" spans="1:2" ht="12.9" x14ac:dyDescent="0.35">
      <c r="A4712" s="401">
        <v>44531</v>
      </c>
      <c r="B4712" s="403">
        <v>1.5211269531216701E+20</v>
      </c>
    </row>
    <row r="4713" spans="1:2" ht="12.9" x14ac:dyDescent="0.35">
      <c r="A4713" s="401">
        <v>44532</v>
      </c>
      <c r="B4713" s="403">
        <v>1.72098304915226E+20</v>
      </c>
    </row>
    <row r="4714" spans="1:2" ht="12.9" x14ac:dyDescent="0.35">
      <c r="A4714" s="401">
        <v>44533</v>
      </c>
      <c r="B4714" s="403">
        <v>1.8653235629521299E+20</v>
      </c>
    </row>
    <row r="4715" spans="1:2" ht="12.9" x14ac:dyDescent="0.35">
      <c r="A4715" s="401">
        <v>44534</v>
      </c>
      <c r="B4715" s="403">
        <v>1.72098304915226E+20</v>
      </c>
    </row>
    <row r="4716" spans="1:2" ht="12.9" x14ac:dyDescent="0.35">
      <c r="A4716" s="401">
        <v>44535</v>
      </c>
      <c r="B4716" s="403">
        <v>1.8431173300598401E+20</v>
      </c>
    </row>
    <row r="4717" spans="1:2" ht="12.9" x14ac:dyDescent="0.35">
      <c r="A4717" s="401">
        <v>44536</v>
      </c>
      <c r="B4717" s="403">
        <v>1.9097360287367001E+20</v>
      </c>
    </row>
    <row r="4718" spans="1:2" ht="12.9" x14ac:dyDescent="0.35">
      <c r="A4718" s="401">
        <v>44537</v>
      </c>
      <c r="B4718" s="403">
        <v>1.70987993270612E+20</v>
      </c>
    </row>
    <row r="4719" spans="1:2" ht="12.9" x14ac:dyDescent="0.35">
      <c r="A4719" s="401">
        <v>44538</v>
      </c>
      <c r="B4719" s="403">
        <v>1.8653235629521299E+20</v>
      </c>
    </row>
    <row r="4720" spans="1:2" ht="12.9" x14ac:dyDescent="0.35">
      <c r="A4720" s="401">
        <v>44539</v>
      </c>
      <c r="B4720" s="403">
        <v>1.8098079807214099E+20</v>
      </c>
    </row>
    <row r="4721" spans="1:2" ht="12.9" x14ac:dyDescent="0.35">
      <c r="A4721" s="401">
        <v>44540</v>
      </c>
      <c r="B4721" s="403">
        <v>1.7320861655984E+20</v>
      </c>
    </row>
    <row r="4722" spans="1:2" ht="12.9" x14ac:dyDescent="0.35">
      <c r="A4722" s="401">
        <v>44541</v>
      </c>
      <c r="B4722" s="403">
        <v>1.8161589017545798E+20</v>
      </c>
    </row>
    <row r="4723" spans="1:2" ht="12.9" x14ac:dyDescent="0.35">
      <c r="A4723" s="401">
        <v>44542</v>
      </c>
      <c r="B4723" s="403">
        <v>1.6838559354015901E+20</v>
      </c>
    </row>
    <row r="4724" spans="1:2" ht="12.9" x14ac:dyDescent="0.35">
      <c r="A4724" s="401">
        <v>44543</v>
      </c>
      <c r="B4724" s="403">
        <v>1.6958834777973201E+20</v>
      </c>
    </row>
    <row r="4725" spans="1:2" ht="12.9" x14ac:dyDescent="0.35">
      <c r="A4725" s="401">
        <v>44544</v>
      </c>
      <c r="B4725" s="403">
        <v>1.7800762745674E+20</v>
      </c>
    </row>
    <row r="4726" spans="1:2" ht="12.9" x14ac:dyDescent="0.35">
      <c r="A4726" s="401">
        <v>44545</v>
      </c>
      <c r="B4726" s="403">
        <v>1.6958834777973201E+20</v>
      </c>
    </row>
    <row r="4727" spans="1:2" ht="12.9" x14ac:dyDescent="0.35">
      <c r="A4727" s="401">
        <v>44546</v>
      </c>
      <c r="B4727" s="403">
        <v>1.38316737550845E+20</v>
      </c>
    </row>
    <row r="4728" spans="1:2" ht="12.9" x14ac:dyDescent="0.35">
      <c r="A4728" s="401">
        <v>44547</v>
      </c>
      <c r="B4728" s="403">
        <v>1.79210381696313E+20</v>
      </c>
    </row>
    <row r="4729" spans="1:2" ht="12.9" x14ac:dyDescent="0.35">
      <c r="A4729" s="401">
        <v>44548</v>
      </c>
      <c r="B4729" s="403">
        <v>1.5395254266528901E+20</v>
      </c>
    </row>
    <row r="4730" spans="1:2" ht="12.9" x14ac:dyDescent="0.35">
      <c r="A4730" s="401">
        <v>44549</v>
      </c>
      <c r="B4730" s="403">
        <v>1.79210381696313E+20</v>
      </c>
    </row>
    <row r="4731" spans="1:2" ht="12.9" x14ac:dyDescent="0.35">
      <c r="A4731" s="401">
        <v>44550</v>
      </c>
      <c r="B4731" s="403">
        <v>1.7319661049845E+20</v>
      </c>
    </row>
    <row r="4732" spans="1:2" ht="12.9" x14ac:dyDescent="0.35">
      <c r="A4732" s="401">
        <v>44551</v>
      </c>
      <c r="B4732" s="403">
        <v>1.9364343257118301E+20</v>
      </c>
    </row>
    <row r="4733" spans="1:2" ht="12.9" x14ac:dyDescent="0.35">
      <c r="A4733" s="401">
        <v>44552</v>
      </c>
      <c r="B4733" s="403">
        <v>1.7800762745674E+20</v>
      </c>
    </row>
    <row r="4734" spans="1:2" ht="12.9" x14ac:dyDescent="0.35">
      <c r="A4734" s="401">
        <v>44553</v>
      </c>
      <c r="B4734" s="403">
        <v>1.8281864441503E+20</v>
      </c>
    </row>
    <row r="4735" spans="1:2" ht="12.9" x14ac:dyDescent="0.35">
      <c r="A4735" s="401">
        <v>44554</v>
      </c>
      <c r="B4735" s="403">
        <v>1.8161589017545798E+20</v>
      </c>
    </row>
    <row r="4736" spans="1:2" ht="12.9" x14ac:dyDescent="0.35">
      <c r="A4736" s="401">
        <v>44555</v>
      </c>
      <c r="B4736" s="403">
        <v>1.77367872712134E+20</v>
      </c>
    </row>
    <row r="4737" spans="1:2" ht="12.9" x14ac:dyDescent="0.35">
      <c r="A4737" s="401">
        <v>44556</v>
      </c>
      <c r="B4737" s="403">
        <v>1.6168227852670701E+20</v>
      </c>
    </row>
    <row r="4738" spans="1:2" ht="12.9" x14ac:dyDescent="0.35">
      <c r="A4738" s="401">
        <v>44557</v>
      </c>
      <c r="B4738" s="403">
        <v>1.78574456880244E+20</v>
      </c>
    </row>
    <row r="4739" spans="1:2" ht="12.9" x14ac:dyDescent="0.35">
      <c r="A4739" s="401">
        <v>44558</v>
      </c>
      <c r="B4739" s="403">
        <v>1.6168227852670701E+20</v>
      </c>
    </row>
    <row r="4740" spans="1:2" ht="12.9" x14ac:dyDescent="0.35">
      <c r="A4740" s="401">
        <v>44559</v>
      </c>
      <c r="B4740" s="403">
        <v>1.7495470437591499E+20</v>
      </c>
    </row>
    <row r="4741" spans="1:2" ht="12.9" x14ac:dyDescent="0.35">
      <c r="A4741" s="401">
        <v>44560</v>
      </c>
      <c r="B4741" s="403">
        <v>1.43583516005061E+20</v>
      </c>
    </row>
    <row r="4742" spans="1:2" ht="12.9" x14ac:dyDescent="0.35">
      <c r="A4742" s="401">
        <v>44561</v>
      </c>
      <c r="B4742" s="403">
        <v>1.79781041048354E+20</v>
      </c>
    </row>
    <row r="4743" spans="1:2" ht="12.9" x14ac:dyDescent="0.35">
      <c r="A4743" s="401">
        <v>44562</v>
      </c>
      <c r="B4743" s="403">
        <v>2.0753247691487799E+20</v>
      </c>
    </row>
    <row r="4744" spans="1:2" ht="12.9" x14ac:dyDescent="0.35">
      <c r="A4744" s="401">
        <v>44563</v>
      </c>
      <c r="B4744" s="403">
        <v>1.9064029856134201E+20</v>
      </c>
    </row>
    <row r="4745" spans="1:2" ht="12.9" x14ac:dyDescent="0.35">
      <c r="A4745" s="401">
        <v>44564</v>
      </c>
      <c r="B4745" s="403">
        <v>1.6892178353536601E+20</v>
      </c>
    </row>
    <row r="4746" spans="1:2" ht="12.9" x14ac:dyDescent="0.35">
      <c r="A4746" s="401">
        <v>44565</v>
      </c>
      <c r="B4746" s="403">
        <v>1.77367872712134E+20</v>
      </c>
    </row>
    <row r="4747" spans="1:2" ht="12.9" x14ac:dyDescent="0.35">
      <c r="A4747" s="401">
        <v>44566</v>
      </c>
      <c r="B4747" s="403">
        <v>1.8098762521646399E+20</v>
      </c>
    </row>
    <row r="4748" spans="1:2" ht="12.9" x14ac:dyDescent="0.35">
      <c r="A4748" s="401">
        <v>44567</v>
      </c>
      <c r="B4748" s="403">
        <v>1.7616128854402499E+20</v>
      </c>
    </row>
    <row r="4749" spans="1:2" ht="12.9" x14ac:dyDescent="0.35">
      <c r="A4749" s="401">
        <v>44568</v>
      </c>
      <c r="B4749" s="403">
        <v>1.6892178353536601E+20</v>
      </c>
    </row>
    <row r="4750" spans="1:2" ht="12.9" x14ac:dyDescent="0.35">
      <c r="A4750" s="401">
        <v>44569</v>
      </c>
      <c r="B4750" s="403">
        <v>1.74460674018045E+20</v>
      </c>
    </row>
    <row r="4751" spans="1:2" ht="12.9" x14ac:dyDescent="0.35">
      <c r="A4751" s="401">
        <v>44570</v>
      </c>
      <c r="B4751" s="403">
        <v>1.70826076642669E+20</v>
      </c>
    </row>
    <row r="4752" spans="1:2" ht="12.9" x14ac:dyDescent="0.35">
      <c r="A4752" s="401">
        <v>44571</v>
      </c>
      <c r="B4752" s="403">
        <v>1.7203760910112699E+20</v>
      </c>
    </row>
    <row r="4753" spans="1:2" ht="12.9" x14ac:dyDescent="0.35">
      <c r="A4753" s="401">
        <v>44572</v>
      </c>
      <c r="B4753" s="403">
        <v>1.9142212843646599E+20</v>
      </c>
    </row>
    <row r="4754" spans="1:2" ht="12.9" x14ac:dyDescent="0.35">
      <c r="A4754" s="401">
        <v>44573</v>
      </c>
      <c r="B4754" s="403">
        <v>1.6840301172575099E+20</v>
      </c>
    </row>
    <row r="4755" spans="1:2" ht="12.9" x14ac:dyDescent="0.35">
      <c r="A4755" s="401">
        <v>44574</v>
      </c>
      <c r="B4755" s="403">
        <v>2.16864310064097E+20</v>
      </c>
    </row>
    <row r="4756" spans="1:2" ht="12.9" x14ac:dyDescent="0.35">
      <c r="A4756" s="401">
        <v>44575</v>
      </c>
      <c r="B4756" s="403">
        <v>1.9263366089492401E+20</v>
      </c>
    </row>
    <row r="4757" spans="1:2" ht="12.9" x14ac:dyDescent="0.35">
      <c r="A4757" s="401">
        <v>44576</v>
      </c>
      <c r="B4757" s="403">
        <v>2.0111438810413498E+20</v>
      </c>
    </row>
    <row r="4758" spans="1:2" ht="12.9" x14ac:dyDescent="0.35">
      <c r="A4758" s="401">
        <v>44577</v>
      </c>
      <c r="B4758" s="403">
        <v>2.1201818023026301E+20</v>
      </c>
    </row>
    <row r="4759" spans="1:2" ht="12.9" x14ac:dyDescent="0.35">
      <c r="A4759" s="401">
        <v>44578</v>
      </c>
      <c r="B4759" s="403">
        <v>1.9505672581184199E+20</v>
      </c>
    </row>
    <row r="4760" spans="1:2" ht="12.9" x14ac:dyDescent="0.35">
      <c r="A4760" s="401">
        <v>44579</v>
      </c>
      <c r="B4760" s="403">
        <v>1.6476841435037499E+20</v>
      </c>
    </row>
    <row r="4761" spans="1:2" ht="12.9" x14ac:dyDescent="0.35">
      <c r="A4761" s="401">
        <v>44580</v>
      </c>
      <c r="B4761" s="403">
        <v>2.09595115313345E+20</v>
      </c>
    </row>
    <row r="4762" spans="1:2" ht="12.9" x14ac:dyDescent="0.35">
      <c r="A4762" s="401">
        <v>44581</v>
      </c>
      <c r="B4762" s="403">
        <v>2.0474898547951102E+20</v>
      </c>
    </row>
    <row r="4763" spans="1:2" ht="12.9" x14ac:dyDescent="0.35">
      <c r="A4763" s="401">
        <v>44582</v>
      </c>
      <c r="B4763" s="403">
        <v>1.77474949667869E+20</v>
      </c>
    </row>
    <row r="4764" spans="1:2" ht="12.9" x14ac:dyDescent="0.35">
      <c r="A4764" s="401">
        <v>44583</v>
      </c>
      <c r="B4764" s="403">
        <v>1.77474949667869E+20</v>
      </c>
    </row>
    <row r="4765" spans="1:2" ht="12.9" x14ac:dyDescent="0.35">
      <c r="A4765" s="401">
        <v>44584</v>
      </c>
      <c r="B4765" s="403">
        <v>1.8674602912813099E+20</v>
      </c>
    </row>
    <row r="4766" spans="1:2" ht="12.9" x14ac:dyDescent="0.35">
      <c r="A4766" s="401">
        <v>44585</v>
      </c>
      <c r="B4766" s="403">
        <v>1.9866598843418201E+20</v>
      </c>
    </row>
    <row r="4767" spans="1:2" ht="12.9" x14ac:dyDescent="0.35">
      <c r="A4767" s="401">
        <v>44586</v>
      </c>
      <c r="B4767" s="403">
        <v>2.0131486827997099E+20</v>
      </c>
    </row>
    <row r="4768" spans="1:2" ht="12.9" x14ac:dyDescent="0.35">
      <c r="A4768" s="401">
        <v>44587</v>
      </c>
      <c r="B4768" s="403">
        <v>1.7217718997629098E+20</v>
      </c>
    </row>
    <row r="4769" spans="1:2" ht="12.9" x14ac:dyDescent="0.35">
      <c r="A4769" s="401">
        <v>44588</v>
      </c>
      <c r="B4769" s="403">
        <v>1.7350162989918601E+20</v>
      </c>
    </row>
    <row r="4770" spans="1:2" ht="12.9" x14ac:dyDescent="0.35">
      <c r="A4770" s="401">
        <v>44589</v>
      </c>
      <c r="B4770" s="403">
        <v>2.0396374812576E+20</v>
      </c>
    </row>
    <row r="4771" spans="1:2" ht="12.9" x14ac:dyDescent="0.35">
      <c r="A4771" s="401">
        <v>44590</v>
      </c>
      <c r="B4771" s="403">
        <v>1.97341548511288E+20</v>
      </c>
    </row>
    <row r="4772" spans="1:2" ht="12.9" x14ac:dyDescent="0.35">
      <c r="A4772" s="401">
        <v>44591</v>
      </c>
      <c r="B4772" s="403">
        <v>1.93368228742604E+20</v>
      </c>
    </row>
    <row r="4773" spans="1:2" ht="12.9" x14ac:dyDescent="0.35">
      <c r="A4773" s="401">
        <v>44592</v>
      </c>
      <c r="B4773" s="403">
        <v>1.8939490897391999E+20</v>
      </c>
    </row>
    <row r="4774" spans="1:2" ht="12.9" x14ac:dyDescent="0.35">
      <c r="A4774" s="401">
        <v>44593</v>
      </c>
      <c r="B4774" s="403">
        <v>2.0396374812576E+20</v>
      </c>
    </row>
    <row r="4775" spans="1:2" ht="12.9" x14ac:dyDescent="0.35">
      <c r="A4775" s="401">
        <v>44594</v>
      </c>
      <c r="B4775" s="403">
        <v>2.0263930820286602E+20</v>
      </c>
    </row>
    <row r="4776" spans="1:2" ht="12.9" x14ac:dyDescent="0.35">
      <c r="A4776" s="401">
        <v>44595</v>
      </c>
      <c r="B4776" s="403">
        <v>1.9469266866549801E+20</v>
      </c>
    </row>
    <row r="4777" spans="1:2" ht="12.9" x14ac:dyDescent="0.35">
      <c r="A4777" s="401">
        <v>44596</v>
      </c>
      <c r="B4777" s="403">
        <v>1.7248311711713801E+20</v>
      </c>
    </row>
    <row r="4778" spans="1:2" ht="12.9" x14ac:dyDescent="0.35">
      <c r="A4778" s="401">
        <v>44597</v>
      </c>
      <c r="B4778" s="403">
        <v>1.5788839182261099E+20</v>
      </c>
    </row>
    <row r="4779" spans="1:2" ht="12.9" x14ac:dyDescent="0.35">
      <c r="A4779" s="401">
        <v>44598</v>
      </c>
      <c r="B4779" s="403">
        <v>2.0697974054056601E+20</v>
      </c>
    </row>
    <row r="4780" spans="1:2" ht="12.9" x14ac:dyDescent="0.35">
      <c r="A4780" s="401">
        <v>44599</v>
      </c>
      <c r="B4780" s="403">
        <v>1.80443876368699E+20</v>
      </c>
    </row>
    <row r="4781" spans="1:2" ht="12.9" x14ac:dyDescent="0.35">
      <c r="A4781" s="401">
        <v>44600</v>
      </c>
      <c r="B4781" s="403">
        <v>2.0432615412337902E+20</v>
      </c>
    </row>
    <row r="4782" spans="1:2" ht="12.9" x14ac:dyDescent="0.35">
      <c r="A4782" s="401">
        <v>44601</v>
      </c>
      <c r="B4782" s="403">
        <v>1.8575104920307201E+20</v>
      </c>
    </row>
    <row r="4783" spans="1:2" ht="12.9" x14ac:dyDescent="0.35">
      <c r="A4783" s="401">
        <v>44602</v>
      </c>
      <c r="B4783" s="403">
        <v>1.9503860166322599E+20</v>
      </c>
    </row>
    <row r="4784" spans="1:2" ht="12.9" x14ac:dyDescent="0.35">
      <c r="A4784" s="401">
        <v>44603</v>
      </c>
      <c r="B4784" s="403">
        <v>1.88404635620259E+20</v>
      </c>
    </row>
    <row r="4785" spans="1:2" ht="12.9" x14ac:dyDescent="0.35">
      <c r="A4785" s="401">
        <v>44604</v>
      </c>
      <c r="B4785" s="403">
        <v>2.48110330006961E+20</v>
      </c>
    </row>
    <row r="4786" spans="1:2" ht="12.9" x14ac:dyDescent="0.35">
      <c r="A4786" s="401">
        <v>44605</v>
      </c>
      <c r="B4786" s="403">
        <v>2.0963332695775301E+20</v>
      </c>
    </row>
    <row r="4787" spans="1:2" ht="12.9" x14ac:dyDescent="0.35">
      <c r="A4787" s="401">
        <v>44606</v>
      </c>
      <c r="B4787" s="403">
        <v>2.0299936091478599E+20</v>
      </c>
    </row>
    <row r="4788" spans="1:2" ht="12.9" x14ac:dyDescent="0.35">
      <c r="A4788" s="401">
        <v>44607</v>
      </c>
      <c r="B4788" s="403">
        <v>2.3218881150384E+20</v>
      </c>
    </row>
    <row r="4789" spans="1:2" ht="12.9" x14ac:dyDescent="0.35">
      <c r="A4789" s="401">
        <v>44608</v>
      </c>
      <c r="B4789" s="403">
        <v>2.0697974054056601E+20</v>
      </c>
    </row>
    <row r="4790" spans="1:2" ht="12.9" x14ac:dyDescent="0.35">
      <c r="A4790" s="401">
        <v>44609</v>
      </c>
      <c r="B4790" s="403">
        <v>2.1826998682616401E+20</v>
      </c>
    </row>
    <row r="4791" spans="1:2" ht="12.9" x14ac:dyDescent="0.35">
      <c r="A4791" s="401">
        <v>44610</v>
      </c>
      <c r="B4791" s="403">
        <v>1.86294128883478E+20</v>
      </c>
    </row>
    <row r="4792" spans="1:2" ht="12.9" x14ac:dyDescent="0.35">
      <c r="A4792" s="401">
        <v>44611</v>
      </c>
      <c r="B4792" s="403">
        <v>2.07147949280882E+20</v>
      </c>
    </row>
    <row r="4793" spans="1:2" ht="12.9" x14ac:dyDescent="0.35">
      <c r="A4793" s="401">
        <v>44612</v>
      </c>
      <c r="B4793" s="403">
        <v>2.0019667581508098E+20</v>
      </c>
    </row>
    <row r="4794" spans="1:2" ht="12.9" x14ac:dyDescent="0.35">
      <c r="A4794" s="401">
        <v>44613</v>
      </c>
      <c r="B4794" s="403">
        <v>1.71001327258715E+20</v>
      </c>
    </row>
    <row r="4795" spans="1:2" ht="12.9" x14ac:dyDescent="0.35">
      <c r="A4795" s="401">
        <v>44614</v>
      </c>
      <c r="B4795" s="403">
        <v>2.11318713360363E+20</v>
      </c>
    </row>
    <row r="4796" spans="1:2" ht="12.9" x14ac:dyDescent="0.35">
      <c r="A4796" s="401">
        <v>44615</v>
      </c>
      <c r="B4796" s="403">
        <v>2.0853820397404199E+20</v>
      </c>
    </row>
    <row r="4797" spans="1:2" ht="12.9" x14ac:dyDescent="0.35">
      <c r="A4797" s="401">
        <v>44616</v>
      </c>
      <c r="B4797" s="403">
        <v>1.83513619497157E+20</v>
      </c>
    </row>
    <row r="4798" spans="1:2" ht="12.9" x14ac:dyDescent="0.35">
      <c r="A4798" s="401">
        <v>44617</v>
      </c>
      <c r="B4798" s="403">
        <v>1.86294128883478E+20</v>
      </c>
    </row>
    <row r="4799" spans="1:2" ht="12.9" x14ac:dyDescent="0.35">
      <c r="A4799" s="401">
        <v>44618</v>
      </c>
      <c r="B4799" s="403">
        <v>1.7378183664503502E+20</v>
      </c>
    </row>
    <row r="4800" spans="1:2" ht="12.9" x14ac:dyDescent="0.35">
      <c r="A4800" s="401">
        <v>44619</v>
      </c>
      <c r="B4800" s="403">
        <v>1.8907463826979799E+20</v>
      </c>
    </row>
    <row r="4801" spans="1:2" ht="12.9" x14ac:dyDescent="0.35">
      <c r="A4801" s="401">
        <v>44620</v>
      </c>
      <c r="B4801" s="403">
        <v>2.1409922274668302E+20</v>
      </c>
    </row>
    <row r="4802" spans="1:2" ht="12.9" x14ac:dyDescent="0.35">
      <c r="A4802" s="401">
        <v>44621</v>
      </c>
      <c r="B4802" s="403">
        <v>2.2522126029196601E+20</v>
      </c>
    </row>
    <row r="4803" spans="1:2" ht="12.9" x14ac:dyDescent="0.35">
      <c r="A4803" s="401">
        <v>44622</v>
      </c>
      <c r="B4803" s="403">
        <v>1.8907463826979799E+20</v>
      </c>
    </row>
    <row r="4804" spans="1:2" ht="12.9" x14ac:dyDescent="0.35">
      <c r="A4804" s="401">
        <v>44623</v>
      </c>
      <c r="B4804" s="403">
        <v>2.0575769458772201E+20</v>
      </c>
    </row>
    <row r="4805" spans="1:2" ht="12.9" x14ac:dyDescent="0.35">
      <c r="A4805" s="401">
        <v>44624</v>
      </c>
      <c r="B4805" s="403">
        <v>1.90365286645501E+20</v>
      </c>
    </row>
    <row r="4806" spans="1:2" ht="12.9" x14ac:dyDescent="0.35">
      <c r="A4806" s="401">
        <v>44625</v>
      </c>
      <c r="B4806" s="403">
        <v>1.68452735664723E+20</v>
      </c>
    </row>
    <row r="4807" spans="1:2" ht="12.9" x14ac:dyDescent="0.35">
      <c r="A4807" s="401">
        <v>44626</v>
      </c>
      <c r="B4807" s="403">
        <v>1.79409011155112E+20</v>
      </c>
    </row>
    <row r="4808" spans="1:2" ht="12.9" x14ac:dyDescent="0.35">
      <c r="A4808" s="401">
        <v>44627</v>
      </c>
      <c r="B4808" s="403">
        <v>2.02691096572188E+20</v>
      </c>
    </row>
    <row r="4809" spans="1:2" ht="12.9" x14ac:dyDescent="0.35">
      <c r="A4809" s="401">
        <v>44628</v>
      </c>
      <c r="B4809" s="403">
        <v>2.02691096572188E+20</v>
      </c>
    </row>
    <row r="4810" spans="1:2" ht="12.9" x14ac:dyDescent="0.35">
      <c r="A4810" s="401">
        <v>44629</v>
      </c>
      <c r="B4810" s="403">
        <v>1.8899575220920199E+20</v>
      </c>
    </row>
    <row r="4811" spans="1:2" ht="12.9" x14ac:dyDescent="0.35">
      <c r="A4811" s="401">
        <v>44630</v>
      </c>
      <c r="B4811" s="403">
        <v>1.9858249326329201E+20</v>
      </c>
    </row>
    <row r="4812" spans="1:2" ht="12.9" x14ac:dyDescent="0.35">
      <c r="A4812" s="401">
        <v>44631</v>
      </c>
      <c r="B4812" s="403">
        <v>1.8899575220920199E+20</v>
      </c>
    </row>
    <row r="4813" spans="1:2" ht="12.9" x14ac:dyDescent="0.35">
      <c r="A4813" s="401">
        <v>44632</v>
      </c>
      <c r="B4813" s="403">
        <v>2.1364737206257598E+20</v>
      </c>
    </row>
    <row r="4814" spans="1:2" ht="12.9" x14ac:dyDescent="0.35">
      <c r="A4814" s="401">
        <v>44633</v>
      </c>
      <c r="B4814" s="403">
        <v>2.0679969988108301E+20</v>
      </c>
    </row>
    <row r="4815" spans="1:2" ht="12.9" x14ac:dyDescent="0.35">
      <c r="A4815" s="401">
        <v>44634</v>
      </c>
      <c r="B4815" s="403">
        <v>2.0953876875367999E+20</v>
      </c>
    </row>
    <row r="4816" spans="1:2" ht="12.9" x14ac:dyDescent="0.35">
      <c r="A4816" s="401">
        <v>44635</v>
      </c>
      <c r="B4816" s="403">
        <v>1.90365286645501E+20</v>
      </c>
    </row>
    <row r="4817" spans="1:2" ht="12.9" x14ac:dyDescent="0.35">
      <c r="A4817" s="401">
        <v>44636</v>
      </c>
      <c r="B4817" s="403">
        <v>2.1227783762627799E+20</v>
      </c>
    </row>
    <row r="4818" spans="1:2" ht="12.9" x14ac:dyDescent="0.35">
      <c r="A4818" s="401">
        <v>44637</v>
      </c>
      <c r="B4818" s="403">
        <v>2.1775597537147201E+20</v>
      </c>
    </row>
    <row r="4819" spans="1:2" ht="12.9" x14ac:dyDescent="0.35">
      <c r="A4819" s="401">
        <v>44638</v>
      </c>
      <c r="B4819" s="403">
        <v>1.9514945473662901E+20</v>
      </c>
    </row>
    <row r="4820" spans="1:2" ht="12.9" x14ac:dyDescent="0.35">
      <c r="A4820" s="401">
        <v>44639</v>
      </c>
      <c r="B4820" s="403">
        <v>2.1152563275648601E+20</v>
      </c>
    </row>
    <row r="4821" spans="1:2" ht="12.9" x14ac:dyDescent="0.35">
      <c r="A4821" s="401">
        <v>44640</v>
      </c>
      <c r="B4821" s="403">
        <v>2.1016095125483101E+20</v>
      </c>
    </row>
    <row r="4822" spans="1:2" ht="12.9" x14ac:dyDescent="0.35">
      <c r="A4822" s="401">
        <v>44641</v>
      </c>
      <c r="B4822" s="403">
        <v>2.0879626975317701E+20</v>
      </c>
    </row>
    <row r="4823" spans="1:2" ht="12.9" x14ac:dyDescent="0.35">
      <c r="A4823" s="401">
        <v>44642</v>
      </c>
      <c r="B4823" s="403">
        <v>2.03337543746558E+20</v>
      </c>
    </row>
    <row r="4824" spans="1:2" ht="12.9" x14ac:dyDescent="0.35">
      <c r="A4824" s="401">
        <v>44643</v>
      </c>
      <c r="B4824" s="403">
        <v>1.9787881773993899E+20</v>
      </c>
    </row>
    <row r="4825" spans="1:2" ht="12.9" x14ac:dyDescent="0.35">
      <c r="A4825" s="401">
        <v>44644</v>
      </c>
      <c r="B4825" s="403">
        <v>1.9514945473662901E+20</v>
      </c>
    </row>
    <row r="4826" spans="1:2" ht="12.9" x14ac:dyDescent="0.35">
      <c r="A4826" s="401">
        <v>44645</v>
      </c>
      <c r="B4826" s="403">
        <v>2.1289031425814099E+20</v>
      </c>
    </row>
    <row r="4827" spans="1:2" ht="12.9" x14ac:dyDescent="0.35">
      <c r="A4827" s="401">
        <v>44646</v>
      </c>
      <c r="B4827" s="403">
        <v>2.1971372176641501E+20</v>
      </c>
    </row>
    <row r="4828" spans="1:2" ht="12.9" x14ac:dyDescent="0.35">
      <c r="A4828" s="401">
        <v>44647</v>
      </c>
      <c r="B4828" s="403">
        <v>1.78773276716772E+20</v>
      </c>
    </row>
    <row r="4829" spans="1:2" ht="12.9" x14ac:dyDescent="0.35">
      <c r="A4829" s="401">
        <v>44648</v>
      </c>
      <c r="B4829" s="403">
        <v>2.1698435876310499E+20</v>
      </c>
    </row>
    <row r="4830" spans="1:2" ht="12.9" x14ac:dyDescent="0.35">
      <c r="A4830" s="401">
        <v>44649</v>
      </c>
      <c r="B4830" s="403">
        <v>2.06066906749867E+20</v>
      </c>
    </row>
    <row r="4831" spans="1:2" ht="12.9" x14ac:dyDescent="0.35">
      <c r="A4831" s="401">
        <v>44650</v>
      </c>
      <c r="B4831" s="403">
        <v>1.8423200272339101E+20</v>
      </c>
    </row>
    <row r="4832" spans="1:2" ht="12.9" x14ac:dyDescent="0.35">
      <c r="A4832" s="401">
        <v>44651</v>
      </c>
      <c r="B4832" s="403">
        <v>1.9610838061904599E+20</v>
      </c>
    </row>
    <row r="4833" spans="1:2" ht="12.9" x14ac:dyDescent="0.35">
      <c r="A4833" s="401">
        <v>44652</v>
      </c>
      <c r="B4833" s="403">
        <v>2.0037160628467699E+20</v>
      </c>
    </row>
    <row r="4834" spans="1:2" ht="12.9" x14ac:dyDescent="0.35">
      <c r="A4834" s="401">
        <v>44653</v>
      </c>
      <c r="B4834" s="403">
        <v>1.9184515495341398E+20</v>
      </c>
    </row>
    <row r="4835" spans="1:2" ht="12.9" x14ac:dyDescent="0.35">
      <c r="A4835" s="401">
        <v>44654</v>
      </c>
      <c r="B4835" s="403">
        <v>1.9752945584092299E+20</v>
      </c>
    </row>
    <row r="4836" spans="1:2" ht="12.9" x14ac:dyDescent="0.35">
      <c r="A4836" s="401">
        <v>44655</v>
      </c>
      <c r="B4836" s="403">
        <v>2.24529885056589E+20</v>
      </c>
    </row>
    <row r="4837" spans="1:2" ht="12.9" x14ac:dyDescent="0.35">
      <c r="A4837" s="401">
        <v>44656</v>
      </c>
      <c r="B4837" s="403">
        <v>2.06055907172186E+20</v>
      </c>
    </row>
    <row r="4838" spans="1:2" ht="12.9" x14ac:dyDescent="0.35">
      <c r="A4838" s="401">
        <v>44657</v>
      </c>
      <c r="B4838" s="403">
        <v>2.1316128328157099E+20</v>
      </c>
    </row>
    <row r="4839" spans="1:2" ht="12.9" x14ac:dyDescent="0.35">
      <c r="A4839" s="401">
        <v>44658</v>
      </c>
      <c r="B4839" s="403">
        <v>1.9610838061904599E+20</v>
      </c>
    </row>
    <row r="4840" spans="1:2" ht="12.9" x14ac:dyDescent="0.35">
      <c r="A4840" s="401">
        <v>44659</v>
      </c>
      <c r="B4840" s="403">
        <v>1.9042407973153699E+20</v>
      </c>
    </row>
    <row r="4841" spans="1:2" ht="12.9" x14ac:dyDescent="0.35">
      <c r="A4841" s="401">
        <v>44660</v>
      </c>
      <c r="B4841" s="403">
        <v>2.17424508947203E+20</v>
      </c>
    </row>
    <row r="4842" spans="1:2" ht="12.9" x14ac:dyDescent="0.35">
      <c r="A4842" s="401">
        <v>44661</v>
      </c>
      <c r="B4842" s="403">
        <v>1.9895053106279999E+20</v>
      </c>
    </row>
    <row r="4843" spans="1:2" ht="12.9" x14ac:dyDescent="0.35">
      <c r="A4843" s="401">
        <v>44662</v>
      </c>
      <c r="B4843" s="403">
        <v>1.94687305397169E+20</v>
      </c>
    </row>
    <row r="4844" spans="1:2" ht="12.9" x14ac:dyDescent="0.35">
      <c r="A4844" s="401">
        <v>44663</v>
      </c>
      <c r="B4844" s="403">
        <v>2.17424508947203E+20</v>
      </c>
    </row>
    <row r="4845" spans="1:2" ht="12.9" x14ac:dyDescent="0.35">
      <c r="A4845" s="401">
        <v>44664</v>
      </c>
      <c r="B4845" s="403">
        <v>1.9895053106279999E+20</v>
      </c>
    </row>
    <row r="4846" spans="1:2" ht="12.9" x14ac:dyDescent="0.35">
      <c r="A4846" s="401">
        <v>44665</v>
      </c>
      <c r="B4846" s="403">
        <v>1.9363035285416899E+20</v>
      </c>
    </row>
    <row r="4847" spans="1:2" ht="12.9" x14ac:dyDescent="0.35">
      <c r="A4847" s="401">
        <v>44666</v>
      </c>
      <c r="B4847" s="403">
        <v>2.2169272283303399E+20</v>
      </c>
    </row>
    <row r="4848" spans="1:2" ht="12.9" x14ac:dyDescent="0.35">
      <c r="A4848" s="401">
        <v>44667</v>
      </c>
      <c r="B4848" s="403">
        <v>1.8801787885839601E+20</v>
      </c>
    </row>
    <row r="4849" spans="1:2" ht="12.9" x14ac:dyDescent="0.35">
      <c r="A4849" s="401">
        <v>44668</v>
      </c>
      <c r="B4849" s="403">
        <v>2.3151455232563701E+20</v>
      </c>
    </row>
    <row r="4850" spans="1:2" ht="12.9" x14ac:dyDescent="0.35">
      <c r="A4850" s="401">
        <v>44669</v>
      </c>
      <c r="B4850" s="403">
        <v>1.8801787885839601E+20</v>
      </c>
    </row>
    <row r="4851" spans="1:2" ht="12.9" x14ac:dyDescent="0.35">
      <c r="A4851" s="401">
        <v>44670</v>
      </c>
      <c r="B4851" s="403">
        <v>1.73986693868963E+20</v>
      </c>
    </row>
    <row r="4852" spans="1:2" ht="12.9" x14ac:dyDescent="0.35">
      <c r="A4852" s="401">
        <v>44671</v>
      </c>
      <c r="B4852" s="403">
        <v>2.2449895983092099E+20</v>
      </c>
    </row>
    <row r="4853" spans="1:2" ht="12.9" x14ac:dyDescent="0.35">
      <c r="A4853" s="401">
        <v>44672</v>
      </c>
      <c r="B4853" s="403">
        <v>2.3712702632141E+20</v>
      </c>
    </row>
    <row r="4854" spans="1:2" ht="12.9" x14ac:dyDescent="0.35">
      <c r="A4854" s="401">
        <v>44673</v>
      </c>
      <c r="B4854" s="403">
        <v>1.8942099735733898E+20</v>
      </c>
    </row>
    <row r="4855" spans="1:2" ht="12.9" x14ac:dyDescent="0.35">
      <c r="A4855" s="401">
        <v>44674</v>
      </c>
      <c r="B4855" s="403">
        <v>2.2870831532775001E+20</v>
      </c>
    </row>
    <row r="4856" spans="1:2" ht="12.9" x14ac:dyDescent="0.35">
      <c r="A4856" s="401">
        <v>44675</v>
      </c>
      <c r="B4856" s="403">
        <v>2.39933263319297E+20</v>
      </c>
    </row>
    <row r="4857" spans="1:2" ht="12.9" x14ac:dyDescent="0.35">
      <c r="A4857" s="401">
        <v>44676</v>
      </c>
      <c r="B4857" s="403">
        <v>2.27305196828807E+20</v>
      </c>
    </row>
    <row r="4858" spans="1:2" ht="12.9" x14ac:dyDescent="0.35">
      <c r="A4858" s="401">
        <v>44677</v>
      </c>
      <c r="B4858" s="403">
        <v>1.9643658985205599E+20</v>
      </c>
    </row>
    <row r="4859" spans="1:2" ht="12.9" x14ac:dyDescent="0.35">
      <c r="A4859" s="401">
        <v>44678</v>
      </c>
      <c r="B4859" s="403">
        <v>2.3853014482035301E+20</v>
      </c>
    </row>
    <row r="4860" spans="1:2" ht="12.9" x14ac:dyDescent="0.35">
      <c r="A4860" s="401">
        <v>44679</v>
      </c>
      <c r="B4860" s="403">
        <v>1.9550362058301099E+20</v>
      </c>
    </row>
    <row r="4861" spans="1:2" ht="12.9" x14ac:dyDescent="0.35">
      <c r="A4861" s="401">
        <v>44680</v>
      </c>
      <c r="B4861" s="403">
        <v>2.2216320520796799E+20</v>
      </c>
    </row>
    <row r="4862" spans="1:2" ht="12.9" x14ac:dyDescent="0.35">
      <c r="A4862" s="401">
        <v>44681</v>
      </c>
      <c r="B4862" s="403">
        <v>2.2216320520796799E+20</v>
      </c>
    </row>
    <row r="4863" spans="1:2" ht="12.9" x14ac:dyDescent="0.35">
      <c r="A4863" s="401">
        <v>44682</v>
      </c>
      <c r="B4863" s="403">
        <v>2.4734170179820401E+20</v>
      </c>
    </row>
    <row r="4864" spans="1:2" ht="12.9" x14ac:dyDescent="0.35">
      <c r="A4864" s="401">
        <v>44683</v>
      </c>
      <c r="B4864" s="403">
        <v>2.36974085555165E+20</v>
      </c>
    </row>
    <row r="4865" spans="1:2" ht="12.9" x14ac:dyDescent="0.35">
      <c r="A4865" s="401">
        <v>44684</v>
      </c>
      <c r="B4865" s="403">
        <v>2.2216320520796799E+20</v>
      </c>
    </row>
    <row r="4866" spans="1:2" ht="12.9" x14ac:dyDescent="0.35">
      <c r="A4866" s="401">
        <v>44685</v>
      </c>
      <c r="B4866" s="403">
        <v>2.16238853069088E+20</v>
      </c>
    </row>
    <row r="4867" spans="1:2" ht="12.9" x14ac:dyDescent="0.35">
      <c r="A4867" s="401">
        <v>44686</v>
      </c>
      <c r="B4867" s="403">
        <v>2.3253082145100598E+20</v>
      </c>
    </row>
    <row r="4868" spans="1:2" ht="12.9" x14ac:dyDescent="0.35">
      <c r="A4868" s="401">
        <v>44687</v>
      </c>
      <c r="B4868" s="403">
        <v>2.1031450093020899E+20</v>
      </c>
    </row>
    <row r="4869" spans="1:2" ht="12.9" x14ac:dyDescent="0.35">
      <c r="A4869" s="401">
        <v>44688</v>
      </c>
      <c r="B4869" s="403">
        <v>2.1179558896492901E+20</v>
      </c>
    </row>
    <row r="4870" spans="1:2" ht="12.9" x14ac:dyDescent="0.35">
      <c r="A4870" s="401">
        <v>44689</v>
      </c>
      <c r="B4870" s="403">
        <v>2.2956864538156601E+20</v>
      </c>
    </row>
    <row r="4871" spans="1:2" ht="12.9" x14ac:dyDescent="0.35">
      <c r="A4871" s="401">
        <v>44690</v>
      </c>
      <c r="B4871" s="403">
        <v>2.2956864538156601E+20</v>
      </c>
    </row>
    <row r="4872" spans="1:2" ht="12.9" x14ac:dyDescent="0.35">
      <c r="A4872" s="401">
        <v>44691</v>
      </c>
      <c r="B4872" s="403">
        <v>2.2660646931212701E+20</v>
      </c>
    </row>
    <row r="4873" spans="1:2" ht="12.9" x14ac:dyDescent="0.35">
      <c r="A4873" s="401">
        <v>44692</v>
      </c>
      <c r="B4873" s="403">
        <v>2.25257597891296E+20</v>
      </c>
    </row>
    <row r="4874" spans="1:2" ht="12.9" x14ac:dyDescent="0.35">
      <c r="A4874" s="401">
        <v>44693</v>
      </c>
      <c r="B4874" s="403">
        <v>2.0972259114017201E+20</v>
      </c>
    </row>
    <row r="4875" spans="1:2" ht="12.9" x14ac:dyDescent="0.35">
      <c r="A4875" s="401">
        <v>44694</v>
      </c>
      <c r="B4875" s="403">
        <v>2.36132102617082E+20</v>
      </c>
    </row>
    <row r="4876" spans="1:2" ht="12.9" x14ac:dyDescent="0.35">
      <c r="A4876" s="401">
        <v>44695</v>
      </c>
      <c r="B4876" s="403">
        <v>2.19043595190846E+20</v>
      </c>
    </row>
    <row r="4877" spans="1:2" ht="12.9" x14ac:dyDescent="0.35">
      <c r="A4877" s="401">
        <v>44696</v>
      </c>
      <c r="B4877" s="403">
        <v>1.89527082363711E+20</v>
      </c>
    </row>
    <row r="4878" spans="1:2" ht="12.9" x14ac:dyDescent="0.35">
      <c r="A4878" s="401">
        <v>44697</v>
      </c>
      <c r="B4878" s="403">
        <v>2.54774110718431E+20</v>
      </c>
    </row>
    <row r="4879" spans="1:2" ht="12.9" x14ac:dyDescent="0.35">
      <c r="A4879" s="401">
        <v>44698</v>
      </c>
      <c r="B4879" s="403">
        <v>2.2836459924151999E+20</v>
      </c>
    </row>
    <row r="4880" spans="1:2" ht="12.9" x14ac:dyDescent="0.35">
      <c r="A4880" s="401">
        <v>44699</v>
      </c>
      <c r="B4880" s="403">
        <v>2.0816909046505901E+20</v>
      </c>
    </row>
    <row r="4881" spans="1:2" ht="12.9" x14ac:dyDescent="0.35">
      <c r="A4881" s="401">
        <v>44700</v>
      </c>
      <c r="B4881" s="403">
        <v>1.89527082363711E+20</v>
      </c>
    </row>
    <row r="4882" spans="1:2" ht="12.9" x14ac:dyDescent="0.35">
      <c r="A4882" s="401">
        <v>44701</v>
      </c>
      <c r="B4882" s="403">
        <v>1.9884808641438499E+20</v>
      </c>
    </row>
    <row r="4883" spans="1:2" ht="12.9" x14ac:dyDescent="0.35">
      <c r="A4883" s="401">
        <v>44702</v>
      </c>
      <c r="B4883" s="403">
        <v>2.0972259114017201E+20</v>
      </c>
    </row>
    <row r="4884" spans="1:2" ht="12.9" x14ac:dyDescent="0.35">
      <c r="A4884" s="401">
        <v>44703</v>
      </c>
      <c r="B4884" s="403">
        <v>1.89527082363711E+20</v>
      </c>
    </row>
    <row r="4885" spans="1:2" ht="12.9" x14ac:dyDescent="0.35">
      <c r="A4885" s="401">
        <v>44704</v>
      </c>
      <c r="B4885" s="403">
        <v>2.48560108017981E+20</v>
      </c>
    </row>
    <row r="4886" spans="1:2" ht="12.9" x14ac:dyDescent="0.35">
      <c r="A4886" s="401">
        <v>44705</v>
      </c>
      <c r="B4886" s="403">
        <v>1.8642008101348599E+20</v>
      </c>
    </row>
    <row r="4887" spans="1:2" ht="12.9" x14ac:dyDescent="0.35">
      <c r="A4887" s="401">
        <v>44706</v>
      </c>
      <c r="B4887" s="403">
        <v>2.2370409721618301E+20</v>
      </c>
    </row>
    <row r="4888" spans="1:2" ht="12.9" x14ac:dyDescent="0.35">
      <c r="A4888" s="401">
        <v>44707</v>
      </c>
      <c r="B4888" s="403">
        <v>2.0955536985717801E+20</v>
      </c>
    </row>
    <row r="4889" spans="1:2" ht="12.9" x14ac:dyDescent="0.35">
      <c r="A4889" s="401">
        <v>44708</v>
      </c>
      <c r="B4889" s="403">
        <v>2.050967449666E+20</v>
      </c>
    </row>
    <row r="4890" spans="1:2" ht="12.9" x14ac:dyDescent="0.35">
      <c r="A4890" s="401">
        <v>44709</v>
      </c>
      <c r="B4890" s="403">
        <v>2.1995882793519399E+20</v>
      </c>
    </row>
    <row r="4891" spans="1:2" ht="12.9" x14ac:dyDescent="0.35">
      <c r="A4891" s="401">
        <v>44710</v>
      </c>
      <c r="B4891" s="403">
        <v>2.21445036232053E+20</v>
      </c>
    </row>
    <row r="4892" spans="1:2" ht="12.9" x14ac:dyDescent="0.35">
      <c r="A4892" s="401">
        <v>44711</v>
      </c>
      <c r="B4892" s="403">
        <v>2.2887607771635001E+20</v>
      </c>
    </row>
    <row r="4893" spans="1:2" ht="12.9" x14ac:dyDescent="0.35">
      <c r="A4893" s="401">
        <v>44712</v>
      </c>
      <c r="B4893" s="403">
        <v>2.1698641134147499E+20</v>
      </c>
    </row>
    <row r="4894" spans="1:2" ht="12.9" x14ac:dyDescent="0.35">
      <c r="A4894" s="401">
        <v>44713</v>
      </c>
      <c r="B4894" s="403">
        <v>2.02124328372881E+20</v>
      </c>
    </row>
    <row r="4895" spans="1:2" ht="12.9" x14ac:dyDescent="0.35">
      <c r="A4895" s="401">
        <v>44714</v>
      </c>
      <c r="B4895" s="403">
        <v>1.8577603710742698E+20</v>
      </c>
    </row>
    <row r="4896" spans="1:2" ht="12.9" x14ac:dyDescent="0.35">
      <c r="A4896" s="401">
        <v>44715</v>
      </c>
      <c r="B4896" s="403">
        <v>2.1252778645089701E+20</v>
      </c>
    </row>
    <row r="4897" spans="1:2" ht="12.9" x14ac:dyDescent="0.35">
      <c r="A4897" s="401">
        <v>44716</v>
      </c>
      <c r="B4897" s="403">
        <v>2.0658295326345901E+20</v>
      </c>
    </row>
    <row r="4898" spans="1:2" ht="12.9" x14ac:dyDescent="0.35">
      <c r="A4898" s="401">
        <v>44717</v>
      </c>
      <c r="B4898" s="403">
        <v>2.1698641134147499E+20</v>
      </c>
    </row>
    <row r="4899" spans="1:2" ht="12.9" x14ac:dyDescent="0.35">
      <c r="A4899" s="401">
        <v>44718</v>
      </c>
      <c r="B4899" s="403">
        <v>2.2293124452891299E+20</v>
      </c>
    </row>
    <row r="4900" spans="1:2" ht="12.9" x14ac:dyDescent="0.35">
      <c r="A4900" s="401">
        <v>44719</v>
      </c>
      <c r="B4900" s="403">
        <v>2.4076574409122601E+20</v>
      </c>
    </row>
    <row r="4901" spans="1:2" ht="12.9" x14ac:dyDescent="0.35">
      <c r="A4901" s="401">
        <v>44720</v>
      </c>
      <c r="B4901" s="403">
        <v>2.6795954238055599E+20</v>
      </c>
    </row>
    <row r="4902" spans="1:2" ht="12.9" x14ac:dyDescent="0.35">
      <c r="A4902" s="401">
        <v>44721</v>
      </c>
      <c r="B4902" s="403">
        <v>2.1978704037955699E+20</v>
      </c>
    </row>
    <row r="4903" spans="1:2" ht="12.9" x14ac:dyDescent="0.35">
      <c r="A4903" s="401">
        <v>44722</v>
      </c>
      <c r="B4903" s="403">
        <v>2.2129243106708799E+20</v>
      </c>
    </row>
    <row r="4904" spans="1:2" ht="12.9" x14ac:dyDescent="0.35">
      <c r="A4904" s="401">
        <v>44723</v>
      </c>
      <c r="B4904" s="403">
        <v>2.31830165879806E+20</v>
      </c>
    </row>
    <row r="4905" spans="1:2" ht="12.9" x14ac:dyDescent="0.35">
      <c r="A4905" s="401">
        <v>44724</v>
      </c>
      <c r="B4905" s="403">
        <v>1.91184617316464E+20</v>
      </c>
    </row>
    <row r="4906" spans="1:2" ht="12.9" x14ac:dyDescent="0.35">
      <c r="A4906" s="401">
        <v>44725</v>
      </c>
      <c r="B4906" s="403">
        <v>2.00216961441651E+20</v>
      </c>
    </row>
    <row r="4907" spans="1:2" ht="12.9" x14ac:dyDescent="0.35">
      <c r="A4907" s="401">
        <v>44726</v>
      </c>
      <c r="B4907" s="403">
        <v>2.1978704037955699E+20</v>
      </c>
    </row>
    <row r="4908" spans="1:2" ht="12.9" x14ac:dyDescent="0.35">
      <c r="A4908" s="401">
        <v>44727</v>
      </c>
      <c r="B4908" s="403">
        <v>2.4838946344265001E+20</v>
      </c>
    </row>
    <row r="4909" spans="1:2" ht="12.9" x14ac:dyDescent="0.35">
      <c r="A4909" s="401">
        <v>44728</v>
      </c>
      <c r="B4909" s="403">
        <v>1.79141491816214E+20</v>
      </c>
    </row>
    <row r="4910" spans="1:2" ht="12.9" x14ac:dyDescent="0.35">
      <c r="A4910" s="401">
        <v>44729</v>
      </c>
      <c r="B4910" s="403">
        <v>1.6258219425337102E+20</v>
      </c>
    </row>
    <row r="4911" spans="1:2" ht="12.9" x14ac:dyDescent="0.35">
      <c r="A4911" s="401">
        <v>44730</v>
      </c>
      <c r="B4911" s="403">
        <v>2.34840947254869E+20</v>
      </c>
    </row>
    <row r="4912" spans="1:2" ht="12.9" x14ac:dyDescent="0.35">
      <c r="A4912" s="401">
        <v>44731</v>
      </c>
      <c r="B4912" s="403">
        <v>2.00216961441651E+20</v>
      </c>
    </row>
    <row r="4913" spans="1:2" ht="12.9" x14ac:dyDescent="0.35">
      <c r="A4913" s="401">
        <v>44732</v>
      </c>
      <c r="B4913" s="403">
        <v>1.9871157075411999E+20</v>
      </c>
    </row>
    <row r="4914" spans="1:2" ht="12.9" x14ac:dyDescent="0.35">
      <c r="A4914" s="401">
        <v>44733</v>
      </c>
      <c r="B4914" s="403">
        <v>2.25808603129682E+20</v>
      </c>
    </row>
    <row r="4915" spans="1:2" ht="12.9" x14ac:dyDescent="0.35">
      <c r="A4915" s="401">
        <v>44734</v>
      </c>
      <c r="B4915" s="403">
        <v>1.9419539869152598E+20</v>
      </c>
    </row>
    <row r="4916" spans="1:2" ht="12.9" x14ac:dyDescent="0.35">
      <c r="A4916" s="401">
        <v>44735</v>
      </c>
      <c r="B4916" s="403">
        <v>2.23431040497859E+20</v>
      </c>
    </row>
    <row r="4917" spans="1:2" ht="12.9" x14ac:dyDescent="0.35">
      <c r="A4917" s="401">
        <v>44736</v>
      </c>
      <c r="B4917" s="403">
        <v>1.8962239621199901E+20</v>
      </c>
    </row>
    <row r="4918" spans="1:2" ht="12.9" x14ac:dyDescent="0.35">
      <c r="A4918" s="401">
        <v>44737</v>
      </c>
      <c r="B4918" s="403">
        <v>2.21961099441952E+20</v>
      </c>
    </row>
    <row r="4919" spans="1:2" ht="12.9" x14ac:dyDescent="0.35">
      <c r="A4919" s="401">
        <v>44738</v>
      </c>
      <c r="B4919" s="403">
        <v>2.0285186571516199E+20</v>
      </c>
    </row>
    <row r="4920" spans="1:2" ht="12.9" x14ac:dyDescent="0.35">
      <c r="A4920" s="401">
        <v>44739</v>
      </c>
      <c r="B4920" s="403">
        <v>1.9991198360334801E+20</v>
      </c>
    </row>
    <row r="4921" spans="1:2" ht="12.9" x14ac:dyDescent="0.35">
      <c r="A4921" s="401">
        <v>44740</v>
      </c>
      <c r="B4921" s="403">
        <v>2.1461139416241799E+20</v>
      </c>
    </row>
    <row r="4922" spans="1:2" ht="12.9" x14ac:dyDescent="0.35">
      <c r="A4922" s="401">
        <v>44741</v>
      </c>
      <c r="B4922" s="403">
        <v>2.21961099441952E+20</v>
      </c>
    </row>
    <row r="4923" spans="1:2" ht="12.9" x14ac:dyDescent="0.35">
      <c r="A4923" s="401">
        <v>44742</v>
      </c>
      <c r="B4923" s="403">
        <v>2.5135992056009199E+20</v>
      </c>
    </row>
    <row r="4924" spans="1:2" ht="12.9" x14ac:dyDescent="0.35">
      <c r="A4924" s="401">
        <v>44743</v>
      </c>
      <c r="B4924" s="403">
        <v>1.96972101491534E+20</v>
      </c>
    </row>
    <row r="4925" spans="1:2" ht="12.9" x14ac:dyDescent="0.35">
      <c r="A4925" s="401">
        <v>44744</v>
      </c>
      <c r="B4925" s="403">
        <v>2.0285186571516199E+20</v>
      </c>
    </row>
    <row r="4926" spans="1:2" ht="12.9" x14ac:dyDescent="0.35">
      <c r="A4926" s="401">
        <v>44745</v>
      </c>
      <c r="B4926" s="403">
        <v>2.2784086366558002E+20</v>
      </c>
    </row>
    <row r="4927" spans="1:2" ht="12.9" x14ac:dyDescent="0.35">
      <c r="A4927" s="401">
        <v>44746</v>
      </c>
      <c r="B4927" s="403">
        <v>2.1020157099469701E+20</v>
      </c>
    </row>
    <row r="4928" spans="1:2" ht="12.9" x14ac:dyDescent="0.35">
      <c r="A4928" s="401">
        <v>44747</v>
      </c>
      <c r="B4928" s="403">
        <v>1.73453044597022E+20</v>
      </c>
    </row>
    <row r="4929" spans="1:2" ht="12.9" x14ac:dyDescent="0.35">
      <c r="A4929" s="401">
        <v>44748</v>
      </c>
      <c r="B4929" s="403">
        <v>1.8668251410018501E+20</v>
      </c>
    </row>
    <row r="4930" spans="1:2" ht="12.9" x14ac:dyDescent="0.35">
      <c r="A4930" s="401">
        <v>44749</v>
      </c>
      <c r="B4930" s="403">
        <v>2.27523377807153E+20</v>
      </c>
    </row>
    <row r="4931" spans="1:2" ht="12.9" x14ac:dyDescent="0.35">
      <c r="A4931" s="401">
        <v>44750</v>
      </c>
      <c r="B4931" s="403">
        <v>2.14480636404195E+20</v>
      </c>
    </row>
    <row r="4932" spans="1:2" ht="12.9" x14ac:dyDescent="0.35">
      <c r="A4932" s="401">
        <v>44751</v>
      </c>
      <c r="B4932" s="403">
        <v>1.9419192755514999E+20</v>
      </c>
    </row>
    <row r="4933" spans="1:2" ht="12.9" x14ac:dyDescent="0.35">
      <c r="A4933" s="401">
        <v>44752</v>
      </c>
      <c r="B4933" s="403">
        <v>2.2172660385028299E+20</v>
      </c>
    </row>
    <row r="4934" spans="1:2" ht="12.9" x14ac:dyDescent="0.35">
      <c r="A4934" s="401">
        <v>44753</v>
      </c>
      <c r="B4934" s="403">
        <v>1.7825079917375701E+20</v>
      </c>
    </row>
    <row r="4935" spans="1:2" ht="12.9" x14ac:dyDescent="0.35">
      <c r="A4935" s="401">
        <v>44754</v>
      </c>
      <c r="B4935" s="403">
        <v>2.1882821687184799E+20</v>
      </c>
    </row>
    <row r="4936" spans="1:2" ht="12.9" x14ac:dyDescent="0.35">
      <c r="A4936" s="401">
        <v>44755</v>
      </c>
      <c r="B4936" s="403">
        <v>1.5941128381392899E+20</v>
      </c>
    </row>
    <row r="4937" spans="1:2" ht="12.9" x14ac:dyDescent="0.35">
      <c r="A4937" s="401">
        <v>44756</v>
      </c>
      <c r="B4937" s="403">
        <v>1.7969999266297499E+20</v>
      </c>
    </row>
    <row r="4938" spans="1:2" ht="12.9" x14ac:dyDescent="0.35">
      <c r="A4938" s="401">
        <v>44757</v>
      </c>
      <c r="B4938" s="403">
        <v>2.0578547546889001E+20</v>
      </c>
    </row>
    <row r="4939" spans="1:2" ht="12.9" x14ac:dyDescent="0.35">
      <c r="A4939" s="401">
        <v>44758</v>
      </c>
      <c r="B4939" s="403">
        <v>2.14480636404195E+20</v>
      </c>
    </row>
    <row r="4940" spans="1:2" ht="12.9" x14ac:dyDescent="0.35">
      <c r="A4940" s="401">
        <v>44759</v>
      </c>
      <c r="B4940" s="403">
        <v>1.7969999266297499E+20</v>
      </c>
    </row>
    <row r="4941" spans="1:2" ht="12.9" x14ac:dyDescent="0.35">
      <c r="A4941" s="401">
        <v>44760</v>
      </c>
      <c r="B4941" s="403">
        <v>1.89844347087497E+20</v>
      </c>
    </row>
    <row r="4942" spans="1:2" ht="12.9" x14ac:dyDescent="0.35">
      <c r="A4942" s="401">
        <v>44761</v>
      </c>
      <c r="B4942" s="403">
        <v>1.9998870151202E+20</v>
      </c>
    </row>
    <row r="4943" spans="1:2" ht="12.9" x14ac:dyDescent="0.35">
      <c r="A4943" s="401">
        <v>44762</v>
      </c>
      <c r="B4943" s="403">
        <v>1.8259837964140999E+20</v>
      </c>
    </row>
    <row r="4944" spans="1:2" ht="12.9" x14ac:dyDescent="0.35">
      <c r="A4944" s="401">
        <v>44763</v>
      </c>
      <c r="B4944" s="403">
        <v>2.0143789500123801E+20</v>
      </c>
    </row>
    <row r="4945" spans="1:2" ht="12.9" x14ac:dyDescent="0.35">
      <c r="A4945" s="401">
        <v>44764</v>
      </c>
      <c r="B4945" s="403">
        <v>1.8171186263872501E+20</v>
      </c>
    </row>
    <row r="4946" spans="1:2" ht="12.9" x14ac:dyDescent="0.35">
      <c r="A4946" s="401">
        <v>44765</v>
      </c>
      <c r="B4946" s="403">
        <v>2.1199717307851299E+20</v>
      </c>
    </row>
    <row r="4947" spans="1:2" ht="12.9" x14ac:dyDescent="0.35">
      <c r="A4947" s="401">
        <v>44766</v>
      </c>
      <c r="B4947" s="403">
        <v>2.1612698813848401E+20</v>
      </c>
    </row>
    <row r="4948" spans="1:2" ht="12.9" x14ac:dyDescent="0.35">
      <c r="A4948" s="401">
        <v>44767</v>
      </c>
      <c r="B4948" s="403">
        <v>1.9547791283862802E+20</v>
      </c>
    </row>
    <row r="4949" spans="1:2" ht="12.9" x14ac:dyDescent="0.35">
      <c r="A4949" s="401">
        <v>44768</v>
      </c>
      <c r="B4949" s="403">
        <v>2.2025680319845499E+20</v>
      </c>
    </row>
    <row r="4950" spans="1:2" ht="12.9" x14ac:dyDescent="0.35">
      <c r="A4950" s="401">
        <v>44769</v>
      </c>
      <c r="B4950" s="403">
        <v>2.27139828298406E+20</v>
      </c>
    </row>
    <row r="4951" spans="1:2" ht="12.9" x14ac:dyDescent="0.35">
      <c r="A4951" s="401">
        <v>44770</v>
      </c>
      <c r="B4951" s="403">
        <v>1.9410130781863798E+20</v>
      </c>
    </row>
    <row r="4952" spans="1:2" ht="12.9" x14ac:dyDescent="0.35">
      <c r="A4952" s="401">
        <v>44771</v>
      </c>
      <c r="B4952" s="403">
        <v>2.0098433291859001E+20</v>
      </c>
    </row>
    <row r="4953" spans="1:2" ht="12.9" x14ac:dyDescent="0.35">
      <c r="A4953" s="401">
        <v>44772</v>
      </c>
      <c r="B4953" s="403">
        <v>1.7758204757875399E+20</v>
      </c>
    </row>
    <row r="4954" spans="1:2" ht="12.9" x14ac:dyDescent="0.35">
      <c r="A4954" s="401">
        <v>44773</v>
      </c>
      <c r="B4954" s="403">
        <v>2.0924396303853201E+20</v>
      </c>
    </row>
    <row r="4955" spans="1:2" ht="12.9" x14ac:dyDescent="0.35">
      <c r="A4955" s="401">
        <v>44774</v>
      </c>
      <c r="B4955" s="403">
        <v>1.8721828271868599E+20</v>
      </c>
    </row>
    <row r="4956" spans="1:2" ht="12.9" x14ac:dyDescent="0.35">
      <c r="A4956" s="401">
        <v>44775</v>
      </c>
      <c r="B4956" s="403">
        <v>2.1337377809850299E+20</v>
      </c>
    </row>
    <row r="4957" spans="1:2" ht="12.9" x14ac:dyDescent="0.35">
      <c r="A4957" s="401">
        <v>44776</v>
      </c>
      <c r="B4957" s="403">
        <v>1.99607727898599E+20</v>
      </c>
    </row>
    <row r="4958" spans="1:2" ht="12.9" x14ac:dyDescent="0.35">
      <c r="A4958" s="401">
        <v>44777</v>
      </c>
      <c r="B4958" s="403">
        <v>1.84875288434802E+20</v>
      </c>
    </row>
    <row r="4959" spans="1:2" ht="12.9" x14ac:dyDescent="0.35">
      <c r="A4959" s="401">
        <v>44778</v>
      </c>
      <c r="B4959" s="403">
        <v>2.1008555503954801E+20</v>
      </c>
    </row>
    <row r="4960" spans="1:2" ht="12.9" x14ac:dyDescent="0.35">
      <c r="A4960" s="401">
        <v>44779</v>
      </c>
      <c r="B4960" s="403">
        <v>2.2549182907578201E+20</v>
      </c>
    </row>
    <row r="4961" spans="1:2" ht="12.9" x14ac:dyDescent="0.35">
      <c r="A4961" s="401">
        <v>44780</v>
      </c>
      <c r="B4961" s="403">
        <v>2.2269068834192101E+20</v>
      </c>
    </row>
    <row r="4962" spans="1:2" ht="12.9" x14ac:dyDescent="0.35">
      <c r="A4962" s="401">
        <v>44781</v>
      </c>
      <c r="B4962" s="403">
        <v>2.0168213283796599E+20</v>
      </c>
    </row>
    <row r="4963" spans="1:2" ht="12.9" x14ac:dyDescent="0.35">
      <c r="A4963" s="401">
        <v>44782</v>
      </c>
      <c r="B4963" s="403">
        <v>2.0028156247103599E+20</v>
      </c>
    </row>
    <row r="4964" spans="1:2" ht="12.9" x14ac:dyDescent="0.35">
      <c r="A4964" s="401">
        <v>44783</v>
      </c>
      <c r="B4964" s="403">
        <v>2.0728441430568799E+20</v>
      </c>
    </row>
    <row r="4965" spans="1:2" ht="12.9" x14ac:dyDescent="0.35">
      <c r="A4965" s="401">
        <v>44784</v>
      </c>
      <c r="B4965" s="403">
        <v>1.96079851370245E+20</v>
      </c>
    </row>
    <row r="4966" spans="1:2" ht="12.9" x14ac:dyDescent="0.35">
      <c r="A4966" s="401">
        <v>44785</v>
      </c>
      <c r="B4966" s="403">
        <v>2.1568783650726901E+20</v>
      </c>
    </row>
    <row r="4967" spans="1:2" ht="12.9" x14ac:dyDescent="0.35">
      <c r="A4967" s="401">
        <v>44786</v>
      </c>
      <c r="B4967" s="403">
        <v>1.94679281003315E+20</v>
      </c>
    </row>
    <row r="4968" spans="1:2" ht="12.9" x14ac:dyDescent="0.35">
      <c r="A4968" s="401">
        <v>44787</v>
      </c>
      <c r="B4968" s="403">
        <v>1.8627585880173301E+20</v>
      </c>
    </row>
    <row r="4969" spans="1:2" ht="12.9" x14ac:dyDescent="0.35">
      <c r="A4969" s="401">
        <v>44788</v>
      </c>
      <c r="B4969" s="403">
        <v>2.03082703204897E+20</v>
      </c>
    </row>
    <row r="4970" spans="1:2" ht="12.9" x14ac:dyDescent="0.35">
      <c r="A4970" s="401">
        <v>44789</v>
      </c>
      <c r="B4970" s="403">
        <v>2.0728441430568799E+20</v>
      </c>
    </row>
    <row r="4971" spans="1:2" ht="12.9" x14ac:dyDescent="0.35">
      <c r="A4971" s="401">
        <v>44790</v>
      </c>
      <c r="B4971" s="403">
        <v>1.80673577334011E+20</v>
      </c>
    </row>
    <row r="4972" spans="1:2" ht="12.9" x14ac:dyDescent="0.35">
      <c r="A4972" s="401">
        <v>44791</v>
      </c>
      <c r="B4972" s="403">
        <v>2.0294870625393099E+20</v>
      </c>
    </row>
    <row r="4973" spans="1:2" ht="12.9" x14ac:dyDescent="0.35">
      <c r="A4973" s="401">
        <v>44792</v>
      </c>
      <c r="B4973" s="403">
        <v>2.5086715078610901E+20</v>
      </c>
    </row>
    <row r="4974" spans="1:2" ht="12.9" x14ac:dyDescent="0.35">
      <c r="A4974" s="401">
        <v>44793</v>
      </c>
      <c r="B4974" s="403">
        <v>2.0999553633219199E+20</v>
      </c>
    </row>
    <row r="4975" spans="1:2" ht="12.9" x14ac:dyDescent="0.35">
      <c r="A4975" s="401">
        <v>44794</v>
      </c>
      <c r="B4975" s="403">
        <v>2.05767438285235E+20</v>
      </c>
    </row>
    <row r="4976" spans="1:2" ht="12.9" x14ac:dyDescent="0.35">
      <c r="A4976" s="401">
        <v>44795</v>
      </c>
      <c r="B4976" s="403">
        <v>2.0435807226958299E+20</v>
      </c>
    </row>
    <row r="4977" spans="1:2" ht="12.9" x14ac:dyDescent="0.35">
      <c r="A4977" s="401">
        <v>44796</v>
      </c>
      <c r="B4977" s="403">
        <v>2.4241095469219499E+20</v>
      </c>
    </row>
    <row r="4978" spans="1:2" ht="12.9" x14ac:dyDescent="0.35">
      <c r="A4978" s="401">
        <v>44797</v>
      </c>
      <c r="B4978" s="403">
        <v>2.05767438285235E+20</v>
      </c>
    </row>
    <row r="4979" spans="1:2" ht="12.9" x14ac:dyDescent="0.35">
      <c r="A4979" s="401">
        <v>44798</v>
      </c>
      <c r="B4979" s="403">
        <v>2.2408919648871501E+20</v>
      </c>
    </row>
    <row r="4980" spans="1:2" ht="12.9" x14ac:dyDescent="0.35">
      <c r="A4980" s="401">
        <v>44799</v>
      </c>
      <c r="B4980" s="403">
        <v>2.4804841875480399E+20</v>
      </c>
    </row>
    <row r="4981" spans="1:2" ht="12.9" x14ac:dyDescent="0.35">
      <c r="A4981" s="401">
        <v>44800</v>
      </c>
      <c r="B4981" s="403">
        <v>2.0435807226958299E+20</v>
      </c>
    </row>
    <row r="4982" spans="1:2" ht="12.9" x14ac:dyDescent="0.35">
      <c r="A4982" s="401">
        <v>44801</v>
      </c>
      <c r="B4982" s="403">
        <v>2.2690792852002E+20</v>
      </c>
    </row>
    <row r="4983" spans="1:2" ht="12.9" x14ac:dyDescent="0.35">
      <c r="A4983" s="401">
        <v>44802</v>
      </c>
      <c r="B4983" s="403">
        <v>2.21270464457411E+20</v>
      </c>
    </row>
    <row r="4984" spans="1:2" ht="12.9" x14ac:dyDescent="0.35">
      <c r="A4984" s="401">
        <v>44803</v>
      </c>
      <c r="B4984" s="403">
        <v>2.28317294535672E+20</v>
      </c>
    </row>
    <row r="4985" spans="1:2" ht="12.9" x14ac:dyDescent="0.35">
      <c r="A4985" s="401">
        <v>44804</v>
      </c>
      <c r="B4985" s="403">
        <v>2.24822128920145E+20</v>
      </c>
    </row>
    <row r="4986" spans="1:2" ht="12.9" x14ac:dyDescent="0.35">
      <c r="A4986" s="401">
        <v>44805</v>
      </c>
      <c r="B4986" s="403">
        <v>2.1250310815739701E+20</v>
      </c>
    </row>
    <row r="4987" spans="1:2" ht="12.9" x14ac:dyDescent="0.35">
      <c r="A4987" s="401">
        <v>44806</v>
      </c>
      <c r="B4987" s="403">
        <v>1.9864420979930599E+20</v>
      </c>
    </row>
    <row r="4988" spans="1:2" ht="12.9" x14ac:dyDescent="0.35">
      <c r="A4988" s="401">
        <v>44807</v>
      </c>
      <c r="B4988" s="403">
        <v>2.26362006515488E+20</v>
      </c>
    </row>
    <row r="4989" spans="1:2" ht="12.9" x14ac:dyDescent="0.35">
      <c r="A4989" s="401">
        <v>44808</v>
      </c>
      <c r="B4989" s="403">
        <v>2.58699436017701E+20</v>
      </c>
    </row>
    <row r="4990" spans="1:2" ht="12.9" x14ac:dyDescent="0.35">
      <c r="A4990" s="401">
        <v>44809</v>
      </c>
      <c r="B4990" s="403">
        <v>2.3560127208754899E+20</v>
      </c>
    </row>
    <row r="4991" spans="1:2" ht="12.9" x14ac:dyDescent="0.35">
      <c r="A4991" s="401">
        <v>44810</v>
      </c>
      <c r="B4991" s="403">
        <v>2.1866261853877099E+20</v>
      </c>
    </row>
    <row r="4992" spans="1:2" ht="12.9" x14ac:dyDescent="0.35">
      <c r="A4992" s="401">
        <v>44811</v>
      </c>
      <c r="B4992" s="403">
        <v>2.24822128920145E+20</v>
      </c>
    </row>
    <row r="4993" spans="1:2" ht="12.9" x14ac:dyDescent="0.35">
      <c r="A4993" s="401">
        <v>44812</v>
      </c>
      <c r="B4993" s="403">
        <v>1.9556445460861901E+20</v>
      </c>
    </row>
    <row r="4994" spans="1:2" ht="12.9" x14ac:dyDescent="0.35">
      <c r="A4994" s="401">
        <v>44813</v>
      </c>
      <c r="B4994" s="403">
        <v>2.26362006515488E+20</v>
      </c>
    </row>
    <row r="4995" spans="1:2" ht="12.9" x14ac:dyDescent="0.35">
      <c r="A4995" s="401">
        <v>44814</v>
      </c>
      <c r="B4995" s="403">
        <v>2.41760782468923E+20</v>
      </c>
    </row>
    <row r="4996" spans="1:2" ht="12.9" x14ac:dyDescent="0.35">
      <c r="A4996" s="401">
        <v>44815</v>
      </c>
      <c r="B4996" s="403">
        <v>2.81797599947853E+20</v>
      </c>
    </row>
    <row r="4997" spans="1:2" ht="12.9" x14ac:dyDescent="0.35">
      <c r="A4997" s="401">
        <v>44816</v>
      </c>
      <c r="B4997" s="403">
        <v>2.3560127208754899E+20</v>
      </c>
    </row>
    <row r="4998" spans="1:2" ht="12.9" x14ac:dyDescent="0.35">
      <c r="A4998" s="401">
        <v>44817</v>
      </c>
      <c r="B4998" s="403">
        <v>2.1096323056205401E+20</v>
      </c>
    </row>
    <row r="4999" spans="1:2" ht="12.9" x14ac:dyDescent="0.35">
      <c r="A4999" s="401">
        <v>44818</v>
      </c>
      <c r="B4999" s="403">
        <v>2.0230889997494501E+20</v>
      </c>
    </row>
    <row r="5000" spans="1:2" ht="12.9" x14ac:dyDescent="0.35">
      <c r="A5000" s="401">
        <v>44819</v>
      </c>
      <c r="B5000" s="403">
        <v>2.3416856926233802E+20</v>
      </c>
    </row>
    <row r="5001" spans="1:2" ht="12.9" x14ac:dyDescent="0.35">
      <c r="A5001" s="401">
        <v>44820</v>
      </c>
      <c r="B5001" s="403">
        <v>2.0390188343931499E+20</v>
      </c>
    </row>
    <row r="5002" spans="1:2" ht="12.9" x14ac:dyDescent="0.35">
      <c r="A5002" s="401">
        <v>44821</v>
      </c>
      <c r="B5002" s="403">
        <v>2.7080718894284E+20</v>
      </c>
    </row>
    <row r="5003" spans="1:2" ht="12.9" x14ac:dyDescent="0.35">
      <c r="A5003" s="401">
        <v>44822</v>
      </c>
      <c r="B5003" s="403">
        <v>2.45319453512926E+20</v>
      </c>
    </row>
    <row r="5004" spans="1:2" ht="12.9" x14ac:dyDescent="0.35">
      <c r="A5004" s="401">
        <v>44823</v>
      </c>
      <c r="B5004" s="403">
        <v>2.07087850368054E+20</v>
      </c>
    </row>
    <row r="5005" spans="1:2" ht="12.9" x14ac:dyDescent="0.35">
      <c r="A5005" s="401">
        <v>44824</v>
      </c>
      <c r="B5005" s="403">
        <v>2.4213348658418601E+20</v>
      </c>
    </row>
    <row r="5006" spans="1:2" ht="12.9" x14ac:dyDescent="0.35">
      <c r="A5006" s="401">
        <v>44825</v>
      </c>
      <c r="B5006" s="403">
        <v>2.2461066847612001E+20</v>
      </c>
    </row>
    <row r="5007" spans="1:2" ht="12.9" x14ac:dyDescent="0.35">
      <c r="A5007" s="401">
        <v>44826</v>
      </c>
      <c r="B5007" s="403">
        <v>2.0390188343931499E+20</v>
      </c>
    </row>
    <row r="5008" spans="1:2" ht="12.9" x14ac:dyDescent="0.35">
      <c r="A5008" s="401">
        <v>44827</v>
      </c>
      <c r="B5008" s="403">
        <v>2.15052767689902E+20</v>
      </c>
    </row>
    <row r="5009" spans="1:2" ht="12.9" x14ac:dyDescent="0.35">
      <c r="A5009" s="401">
        <v>44828</v>
      </c>
      <c r="B5009" s="403">
        <v>2.32575585797968E+20</v>
      </c>
    </row>
    <row r="5010" spans="1:2" ht="12.9" x14ac:dyDescent="0.35">
      <c r="A5010" s="401">
        <v>44829</v>
      </c>
      <c r="B5010" s="403">
        <v>2.3416856926233802E+20</v>
      </c>
    </row>
    <row r="5011" spans="1:2" ht="12.9" x14ac:dyDescent="0.35">
      <c r="A5011" s="401">
        <v>44830</v>
      </c>
      <c r="B5011" s="403">
        <v>2.38947519655447E+20</v>
      </c>
    </row>
    <row r="5012" spans="1:2" ht="12.9" x14ac:dyDescent="0.35">
      <c r="A5012" s="401">
        <v>44831</v>
      </c>
      <c r="B5012" s="403">
        <v>2.0549486690368399E+20</v>
      </c>
    </row>
    <row r="5013" spans="1:2" ht="12.9" x14ac:dyDescent="0.35">
      <c r="A5013" s="401">
        <v>44832</v>
      </c>
      <c r="B5013" s="403">
        <v>2.3384119581300199E+20</v>
      </c>
    </row>
    <row r="5014" spans="1:2" ht="12.9" x14ac:dyDescent="0.35">
      <c r="A5014" s="401">
        <v>44833</v>
      </c>
      <c r="B5014" s="403">
        <v>2.22928606675062E+20</v>
      </c>
    </row>
    <row r="5015" spans="1:2" ht="12.9" x14ac:dyDescent="0.35">
      <c r="A5015" s="401">
        <v>44834</v>
      </c>
      <c r="B5015" s="403">
        <v>2.6346108061598299E+20</v>
      </c>
    </row>
    <row r="5016" spans="1:2" ht="12.9" x14ac:dyDescent="0.35">
      <c r="A5016" s="401">
        <v>44835</v>
      </c>
      <c r="B5016" s="403">
        <v>2.8216837628102299E+20</v>
      </c>
    </row>
    <row r="5017" spans="1:2" ht="12.9" x14ac:dyDescent="0.35">
      <c r="A5017" s="401">
        <v>44836</v>
      </c>
      <c r="B5017" s="403">
        <v>2.4475378495094299E+20</v>
      </c>
    </row>
    <row r="5018" spans="1:2" ht="12.9" x14ac:dyDescent="0.35">
      <c r="A5018" s="401">
        <v>44837</v>
      </c>
      <c r="B5018" s="403">
        <v>2.4007696103468299E+20</v>
      </c>
    </row>
    <row r="5019" spans="1:2" ht="12.9" x14ac:dyDescent="0.35">
      <c r="A5019" s="401">
        <v>44838</v>
      </c>
      <c r="B5019" s="403">
        <v>2.5410743278346299E+20</v>
      </c>
    </row>
    <row r="5020" spans="1:2" ht="12.9" x14ac:dyDescent="0.35">
      <c r="A5020" s="401">
        <v>44839</v>
      </c>
      <c r="B5020" s="403">
        <v>2.7281472844850299E+20</v>
      </c>
    </row>
    <row r="5021" spans="1:2" ht="12.9" x14ac:dyDescent="0.35">
      <c r="A5021" s="401">
        <v>44840</v>
      </c>
      <c r="B5021" s="403">
        <v>2.47871667561783E+20</v>
      </c>
    </row>
    <row r="5022" spans="1:2" ht="12.9" x14ac:dyDescent="0.35">
      <c r="A5022" s="401">
        <v>44841</v>
      </c>
      <c r="B5022" s="403">
        <v>2.66578963226823E+20</v>
      </c>
    </row>
    <row r="5023" spans="1:2" ht="12.9" x14ac:dyDescent="0.35">
      <c r="A5023" s="401">
        <v>44842</v>
      </c>
      <c r="B5023" s="403">
        <v>2.7281472844850299E+20</v>
      </c>
    </row>
    <row r="5024" spans="1:2" ht="12.9" x14ac:dyDescent="0.35">
      <c r="A5024" s="401">
        <v>44843</v>
      </c>
      <c r="B5024" s="403">
        <v>2.4631272625636301E+20</v>
      </c>
    </row>
    <row r="5025" spans="1:2" ht="12.9" x14ac:dyDescent="0.35">
      <c r="A5025" s="401">
        <v>44844</v>
      </c>
      <c r="B5025" s="403">
        <v>2.9739732617887403E+20</v>
      </c>
    </row>
    <row r="5026" spans="1:2" ht="12.9" x14ac:dyDescent="0.35">
      <c r="A5026" s="401">
        <v>44845</v>
      </c>
      <c r="B5026" s="403">
        <v>2.7792488220287599E+20</v>
      </c>
    </row>
    <row r="5027" spans="1:2" ht="12.9" x14ac:dyDescent="0.35">
      <c r="A5027" s="401">
        <v>44846</v>
      </c>
      <c r="B5027" s="403">
        <v>2.4252043861015301E+20</v>
      </c>
    </row>
    <row r="5028" spans="1:2" ht="12.9" x14ac:dyDescent="0.35">
      <c r="A5028" s="401">
        <v>44847</v>
      </c>
      <c r="B5028" s="403">
        <v>2.5314177168797001E+20</v>
      </c>
    </row>
    <row r="5029" spans="1:2" ht="12.9" x14ac:dyDescent="0.35">
      <c r="A5029" s="401">
        <v>44848</v>
      </c>
      <c r="B5029" s="403">
        <v>2.7615466002324E+20</v>
      </c>
    </row>
    <row r="5030" spans="1:2" ht="12.9" x14ac:dyDescent="0.35">
      <c r="A5030" s="401">
        <v>44849</v>
      </c>
      <c r="B5030" s="403">
        <v>2.6907377130469501E+20</v>
      </c>
    </row>
    <row r="5031" spans="1:2" ht="12.9" x14ac:dyDescent="0.35">
      <c r="A5031" s="401">
        <v>44850</v>
      </c>
      <c r="B5031" s="403">
        <v>2.54911993867606E+20</v>
      </c>
    </row>
    <row r="5032" spans="1:2" ht="12.9" x14ac:dyDescent="0.35">
      <c r="A5032" s="401">
        <v>44851</v>
      </c>
      <c r="B5032" s="403">
        <v>2.65533326945423E+20</v>
      </c>
    </row>
    <row r="5033" spans="1:2" ht="12.9" x14ac:dyDescent="0.35">
      <c r="A5033" s="401">
        <v>44852</v>
      </c>
      <c r="B5033" s="403">
        <v>2.5137154950833399E+20</v>
      </c>
    </row>
    <row r="5034" spans="1:2" ht="12.9" x14ac:dyDescent="0.35">
      <c r="A5034" s="401">
        <v>44853</v>
      </c>
      <c r="B5034" s="403">
        <v>2.6730354912505899E+20</v>
      </c>
    </row>
    <row r="5035" spans="1:2" ht="12.9" x14ac:dyDescent="0.35">
      <c r="A5035" s="401">
        <v>44854</v>
      </c>
      <c r="B5035" s="403">
        <v>2.5668221604724199E+20</v>
      </c>
    </row>
    <row r="5036" spans="1:2" ht="12.9" x14ac:dyDescent="0.35">
      <c r="A5036" s="401">
        <v>44855</v>
      </c>
      <c r="B5036" s="403">
        <v>2.7615466002324E+20</v>
      </c>
    </row>
    <row r="5037" spans="1:2" ht="12.9" x14ac:dyDescent="0.35">
      <c r="A5037" s="401">
        <v>44856</v>
      </c>
      <c r="B5037" s="403">
        <v>2.4075021643051699E+20</v>
      </c>
    </row>
    <row r="5038" spans="1:2" ht="12.9" x14ac:dyDescent="0.35">
      <c r="A5038" s="401">
        <v>44857</v>
      </c>
      <c r="B5038" s="403">
        <v>2.7438443784360401E+20</v>
      </c>
    </row>
    <row r="5039" spans="1:2" ht="12.9" x14ac:dyDescent="0.35">
      <c r="A5039" s="401">
        <v>44858</v>
      </c>
      <c r="B5039" s="403">
        <v>2.4903119274934901E+20</v>
      </c>
    </row>
    <row r="5040" spans="1:2" ht="12.9" x14ac:dyDescent="0.35">
      <c r="A5040" s="401">
        <v>44859</v>
      </c>
      <c r="B5040" s="403">
        <v>2.2339562878985699E+20</v>
      </c>
    </row>
    <row r="5041" spans="1:2" ht="12.9" x14ac:dyDescent="0.35">
      <c r="A5041" s="401">
        <v>44860</v>
      </c>
      <c r="B5041" s="403">
        <v>2.8382231526580201E+20</v>
      </c>
    </row>
    <row r="5042" spans="1:2" ht="12.9" x14ac:dyDescent="0.35">
      <c r="A5042" s="401">
        <v>44861</v>
      </c>
      <c r="B5042" s="403">
        <v>2.4720008103795599E+20</v>
      </c>
    </row>
    <row r="5043" spans="1:2" ht="12.9" x14ac:dyDescent="0.35">
      <c r="A5043" s="401">
        <v>44862</v>
      </c>
      <c r="B5043" s="403">
        <v>2.9114676211137099E+20</v>
      </c>
    </row>
    <row r="5044" spans="1:2" ht="12.9" x14ac:dyDescent="0.35">
      <c r="A5044" s="401">
        <v>44863</v>
      </c>
      <c r="B5044" s="403">
        <v>2.6184897472909499E+20</v>
      </c>
    </row>
    <row r="5045" spans="1:2" ht="12.9" x14ac:dyDescent="0.35">
      <c r="A5045" s="401">
        <v>44864</v>
      </c>
      <c r="B5045" s="403">
        <v>2.4720008103795599E+20</v>
      </c>
    </row>
    <row r="5046" spans="1:2" ht="12.9" x14ac:dyDescent="0.35">
      <c r="A5046" s="401">
        <v>44865</v>
      </c>
      <c r="B5046" s="403">
        <v>3.16782326070863E+20</v>
      </c>
    </row>
    <row r="5047" spans="1:2" ht="12.9" x14ac:dyDescent="0.35">
      <c r="A5047" s="401">
        <v>44866</v>
      </c>
      <c r="B5047" s="403">
        <v>2.6368008644048699E+20</v>
      </c>
    </row>
    <row r="5048" spans="1:2" ht="12.9" x14ac:dyDescent="0.35">
      <c r="A5048" s="401">
        <v>44867</v>
      </c>
      <c r="B5048" s="403">
        <v>2.2339562878985699E+20</v>
      </c>
    </row>
    <row r="5049" spans="1:2" ht="12.9" x14ac:dyDescent="0.35">
      <c r="A5049" s="401">
        <v>44868</v>
      </c>
      <c r="B5049" s="403">
        <v>3.00302320668332E+20</v>
      </c>
    </row>
    <row r="5050" spans="1:2" ht="12.9" x14ac:dyDescent="0.35">
      <c r="A5050" s="401">
        <v>44869</v>
      </c>
      <c r="B5050" s="403">
        <v>2.36213410769603E+20</v>
      </c>
    </row>
    <row r="5051" spans="1:2" ht="12.9" x14ac:dyDescent="0.35">
      <c r="A5051" s="401">
        <v>44870</v>
      </c>
      <c r="B5051" s="403">
        <v>2.76497868420233E+20</v>
      </c>
    </row>
    <row r="5052" spans="1:2" ht="12.9" x14ac:dyDescent="0.35">
      <c r="A5052" s="401">
        <v>44871</v>
      </c>
      <c r="B5052" s="403">
        <v>2.5086230446074098E+20</v>
      </c>
    </row>
    <row r="5053" spans="1:2" ht="12.9" x14ac:dyDescent="0.35">
      <c r="A5053" s="401">
        <v>44872</v>
      </c>
      <c r="B5053" s="403">
        <v>2.6315406942394401E+20</v>
      </c>
    </row>
    <row r="5054" spans="1:2" ht="12.9" x14ac:dyDescent="0.35">
      <c r="A5054" s="401">
        <v>44873</v>
      </c>
      <c r="B5054" s="403">
        <v>2.9787578691738101E+20</v>
      </c>
    </row>
    <row r="5055" spans="1:2" ht="12.9" x14ac:dyDescent="0.35">
      <c r="A5055" s="401">
        <v>44874</v>
      </c>
      <c r="B5055" s="403">
        <v>2.72291363501164E+20</v>
      </c>
    </row>
    <row r="5056" spans="1:2" ht="12.9" x14ac:dyDescent="0.35">
      <c r="A5056" s="401">
        <v>44875</v>
      </c>
      <c r="B5056" s="403">
        <v>2.6863644587027599E+20</v>
      </c>
    </row>
    <row r="5057" spans="1:2" ht="12.9" x14ac:dyDescent="0.35">
      <c r="A5057" s="401">
        <v>44876</v>
      </c>
      <c r="B5057" s="403">
        <v>2.44879481269503E+20</v>
      </c>
    </row>
    <row r="5058" spans="1:2" ht="12.9" x14ac:dyDescent="0.35">
      <c r="A5058" s="401">
        <v>44877</v>
      </c>
      <c r="B5058" s="403">
        <v>3.0518562217915698E+20</v>
      </c>
    </row>
    <row r="5059" spans="1:2" ht="12.9" x14ac:dyDescent="0.35">
      <c r="A5059" s="401">
        <v>44878</v>
      </c>
      <c r="B5059" s="403">
        <v>2.35742187192283E+20</v>
      </c>
    </row>
    <row r="5060" spans="1:2" ht="12.9" x14ac:dyDescent="0.35">
      <c r="A5060" s="401">
        <v>44879</v>
      </c>
      <c r="B5060" s="403">
        <v>2.2477743429961898E+20</v>
      </c>
    </row>
    <row r="5061" spans="1:2" ht="12.9" x14ac:dyDescent="0.35">
      <c r="A5061" s="401">
        <v>44880</v>
      </c>
      <c r="B5061" s="403">
        <v>2.8325611639382799E+20</v>
      </c>
    </row>
    <row r="5062" spans="1:2" ht="12.9" x14ac:dyDescent="0.35">
      <c r="A5062" s="401">
        <v>44881</v>
      </c>
      <c r="B5062" s="403">
        <v>2.74118822316608E+20</v>
      </c>
    </row>
    <row r="5063" spans="1:2" ht="12.9" x14ac:dyDescent="0.35">
      <c r="A5063" s="401">
        <v>44882</v>
      </c>
      <c r="B5063" s="403">
        <v>2.52189316531279E+20</v>
      </c>
    </row>
    <row r="5064" spans="1:2" ht="12.9" x14ac:dyDescent="0.35">
      <c r="A5064" s="401">
        <v>44883</v>
      </c>
      <c r="B5064" s="403">
        <v>2.54016775346723E+20</v>
      </c>
    </row>
    <row r="5065" spans="1:2" ht="12.9" x14ac:dyDescent="0.35">
      <c r="A5065" s="401">
        <v>44884</v>
      </c>
      <c r="B5065" s="403">
        <v>2.6863644587027599E+20</v>
      </c>
    </row>
    <row r="5066" spans="1:2" ht="12.9" x14ac:dyDescent="0.35">
      <c r="A5066" s="401">
        <v>44885</v>
      </c>
      <c r="B5066" s="403">
        <v>2.72291363501164E+20</v>
      </c>
    </row>
    <row r="5067" spans="1:2" ht="12.9" x14ac:dyDescent="0.35">
      <c r="A5067" s="401">
        <v>44886</v>
      </c>
      <c r="B5067" s="403">
        <v>2.3694965397082499E+20</v>
      </c>
    </row>
    <row r="5068" spans="1:2" ht="12.9" x14ac:dyDescent="0.35">
      <c r="A5068" s="401">
        <v>44887</v>
      </c>
      <c r="B5068" s="403">
        <v>2.3143919690173599E+20</v>
      </c>
    </row>
    <row r="5069" spans="1:2" ht="12.9" x14ac:dyDescent="0.35">
      <c r="A5069" s="401">
        <v>44888</v>
      </c>
      <c r="B5069" s="403">
        <v>2.5899148224718101E+20</v>
      </c>
    </row>
    <row r="5070" spans="1:2" ht="12.9" x14ac:dyDescent="0.35">
      <c r="A5070" s="401">
        <v>44889</v>
      </c>
      <c r="B5070" s="403">
        <v>2.3694965397082499E+20</v>
      </c>
    </row>
    <row r="5071" spans="1:2" ht="12.9" x14ac:dyDescent="0.35">
      <c r="A5071" s="401">
        <v>44890</v>
      </c>
      <c r="B5071" s="403">
        <v>2.2592873983264699E+20</v>
      </c>
    </row>
    <row r="5072" spans="1:2" ht="12.9" x14ac:dyDescent="0.35">
      <c r="A5072" s="401">
        <v>44891</v>
      </c>
      <c r="B5072" s="403">
        <v>2.00213273510232E+20</v>
      </c>
    </row>
    <row r="5073" spans="1:2" ht="12.9" x14ac:dyDescent="0.35">
      <c r="A5073" s="401">
        <v>44892</v>
      </c>
      <c r="B5073" s="403">
        <v>2.4980738713203301E+20</v>
      </c>
    </row>
    <row r="5074" spans="1:2" ht="12.9" x14ac:dyDescent="0.35">
      <c r="A5074" s="401">
        <v>44893</v>
      </c>
      <c r="B5074" s="403">
        <v>2.55317844201122E+20</v>
      </c>
    </row>
    <row r="5075" spans="1:2" ht="12.9" x14ac:dyDescent="0.35">
      <c r="A5075" s="401">
        <v>44894</v>
      </c>
      <c r="B5075" s="403">
        <v>2.4062329201688399E+20</v>
      </c>
    </row>
    <row r="5076" spans="1:2" ht="12.9" x14ac:dyDescent="0.35">
      <c r="A5076" s="401">
        <v>44895</v>
      </c>
      <c r="B5076" s="403">
        <v>2.5348102517809201E+20</v>
      </c>
    </row>
    <row r="5077" spans="1:2" ht="12.9" x14ac:dyDescent="0.35">
      <c r="A5077" s="401">
        <v>44896</v>
      </c>
      <c r="B5077" s="403">
        <v>2.81033310523537E+20</v>
      </c>
    </row>
    <row r="5078" spans="1:2" ht="12.9" x14ac:dyDescent="0.35">
      <c r="A5078" s="401">
        <v>44897</v>
      </c>
      <c r="B5078" s="403">
        <v>2.29602377878706E+20</v>
      </c>
    </row>
    <row r="5079" spans="1:2" ht="12.9" x14ac:dyDescent="0.35">
      <c r="A5079" s="401">
        <v>44898</v>
      </c>
      <c r="B5079" s="403">
        <v>2.4062329201688399E+20</v>
      </c>
    </row>
    <row r="5080" spans="1:2" ht="12.9" x14ac:dyDescent="0.35">
      <c r="A5080" s="401">
        <v>44899</v>
      </c>
      <c r="B5080" s="403">
        <v>2.5715466322415102E+20</v>
      </c>
    </row>
    <row r="5081" spans="1:2" ht="12.9" x14ac:dyDescent="0.35">
      <c r="A5081" s="401">
        <v>44900</v>
      </c>
      <c r="B5081" s="403">
        <v>2.6817557736232901E+20</v>
      </c>
    </row>
    <row r="5082" spans="1:2" ht="12.9" x14ac:dyDescent="0.35">
      <c r="A5082" s="401">
        <v>44901</v>
      </c>
      <c r="B5082" s="403">
        <v>2.29809819299954E+20</v>
      </c>
    </row>
    <row r="5083" spans="1:2" ht="12.9" x14ac:dyDescent="0.35">
      <c r="A5083" s="401">
        <v>44902</v>
      </c>
      <c r="B5083" s="403">
        <v>2.9279473273771901E+20</v>
      </c>
    </row>
    <row r="5084" spans="1:2" ht="12.9" x14ac:dyDescent="0.35">
      <c r="A5084" s="401">
        <v>44903</v>
      </c>
      <c r="B5084" s="403">
        <v>2.8428325794883201E+20</v>
      </c>
    </row>
    <row r="5085" spans="1:2" ht="12.9" x14ac:dyDescent="0.35">
      <c r="A5085" s="401">
        <v>44904</v>
      </c>
      <c r="B5085" s="403">
        <v>2.5874883358217001E+20</v>
      </c>
    </row>
    <row r="5086" spans="1:2" ht="12.9" x14ac:dyDescent="0.35">
      <c r="A5086" s="401">
        <v>44905</v>
      </c>
      <c r="B5086" s="403">
        <v>2.6215342349772499E+20</v>
      </c>
    </row>
    <row r="5087" spans="1:2" ht="12.9" x14ac:dyDescent="0.35">
      <c r="A5087" s="401">
        <v>44906</v>
      </c>
      <c r="B5087" s="403">
        <v>2.5023735879328301E+20</v>
      </c>
    </row>
    <row r="5088" spans="1:2" ht="12.9" x14ac:dyDescent="0.35">
      <c r="A5088" s="401">
        <v>44907</v>
      </c>
      <c r="B5088" s="403">
        <v>2.43428178962173E+20</v>
      </c>
    </row>
    <row r="5089" spans="1:2" ht="12.9" x14ac:dyDescent="0.35">
      <c r="A5089" s="401">
        <v>44908</v>
      </c>
      <c r="B5089" s="403">
        <v>2.80878668033277E+20</v>
      </c>
    </row>
    <row r="5090" spans="1:2" ht="12.9" x14ac:dyDescent="0.35">
      <c r="A5090" s="401">
        <v>44909</v>
      </c>
      <c r="B5090" s="403">
        <v>2.5193965375106E+20</v>
      </c>
    </row>
    <row r="5091" spans="1:2" ht="12.9" x14ac:dyDescent="0.35">
      <c r="A5091" s="401">
        <v>44910</v>
      </c>
      <c r="B5091" s="403">
        <v>2.3661899913106299E+20</v>
      </c>
    </row>
    <row r="5092" spans="1:2" ht="12.9" x14ac:dyDescent="0.35">
      <c r="A5092" s="401">
        <v>44911</v>
      </c>
      <c r="B5092" s="403">
        <v>2.2129834451106601E+20</v>
      </c>
    </row>
    <row r="5093" spans="1:2" ht="12.9" x14ac:dyDescent="0.35">
      <c r="A5093" s="401">
        <v>44912</v>
      </c>
      <c r="B5093" s="403">
        <v>2.34916704173286E+20</v>
      </c>
    </row>
    <row r="5094" spans="1:2" ht="12.9" x14ac:dyDescent="0.35">
      <c r="A5094" s="401">
        <v>44913</v>
      </c>
      <c r="B5094" s="403">
        <v>2.4683276887772801E+20</v>
      </c>
    </row>
    <row r="5095" spans="1:2" ht="12.9" x14ac:dyDescent="0.35">
      <c r="A5095" s="401">
        <v>44914</v>
      </c>
      <c r="B5095" s="403">
        <v>2.3151211425773099E+20</v>
      </c>
    </row>
    <row r="5096" spans="1:2" ht="12.9" x14ac:dyDescent="0.35">
      <c r="A5096" s="401">
        <v>44915</v>
      </c>
      <c r="B5096" s="403">
        <v>2.4611401515564001E+20</v>
      </c>
    </row>
    <row r="5097" spans="1:2" ht="12.9" x14ac:dyDescent="0.35">
      <c r="A5097" s="401">
        <v>44916</v>
      </c>
      <c r="B5097" s="403">
        <v>2.5138788690897499E+20</v>
      </c>
    </row>
    <row r="5098" spans="1:2" ht="12.9" x14ac:dyDescent="0.35">
      <c r="A5098" s="401">
        <v>44917</v>
      </c>
      <c r="B5098" s="403">
        <v>2.3732422890008101E+20</v>
      </c>
    </row>
    <row r="5099" spans="1:2" ht="12.9" x14ac:dyDescent="0.35">
      <c r="A5099" s="401">
        <v>44918</v>
      </c>
      <c r="B5099" s="403">
        <v>2.32050357146746E+20</v>
      </c>
    </row>
    <row r="5100" spans="1:2" ht="12.9" x14ac:dyDescent="0.35">
      <c r="A5100" s="401">
        <v>44919</v>
      </c>
      <c r="B5100" s="403">
        <v>1.56458195348942E+20</v>
      </c>
    </row>
    <row r="5101" spans="1:2" ht="12.9" x14ac:dyDescent="0.35">
      <c r="A5101" s="401">
        <v>44920</v>
      </c>
      <c r="B5101" s="403">
        <v>2.47871972406751E+20</v>
      </c>
    </row>
    <row r="5102" spans="1:2" ht="12.9" x14ac:dyDescent="0.35">
      <c r="A5102" s="401">
        <v>44921</v>
      </c>
      <c r="B5102" s="403">
        <v>2.2677648539341101E+20</v>
      </c>
    </row>
    <row r="5103" spans="1:2" ht="12.9" x14ac:dyDescent="0.35">
      <c r="A5103" s="401">
        <v>44922</v>
      </c>
      <c r="B5103" s="403">
        <v>2.0216508387784701E+20</v>
      </c>
    </row>
    <row r="5104" spans="1:2" ht="12.9" x14ac:dyDescent="0.35">
      <c r="A5104" s="401">
        <v>44923</v>
      </c>
      <c r="B5104" s="403">
        <v>2.9533681818676697E+20</v>
      </c>
    </row>
    <row r="5105" spans="1:2" ht="12.9" x14ac:dyDescent="0.35">
      <c r="A5105" s="401">
        <v>44924</v>
      </c>
      <c r="B5105" s="403">
        <v>2.47871972406751E+20</v>
      </c>
    </row>
    <row r="5106" spans="1:2" ht="12.9" x14ac:dyDescent="0.35">
      <c r="A5106" s="401">
        <v>44925</v>
      </c>
      <c r="B5106" s="403">
        <v>2.7775724567564999E+20</v>
      </c>
    </row>
    <row r="5107" spans="1:2" ht="12.9" x14ac:dyDescent="0.35">
      <c r="A5107" s="401">
        <v>44926</v>
      </c>
      <c r="B5107" s="403">
        <v>2.7424133117342699E+20</v>
      </c>
    </row>
    <row r="5108" spans="1:2" ht="12.9" x14ac:dyDescent="0.35">
      <c r="A5108" s="401">
        <v>44927</v>
      </c>
      <c r="B5108" s="403">
        <v>2.7248337392231501E+20</v>
      </c>
    </row>
    <row r="5109" spans="1:2" ht="12.9" x14ac:dyDescent="0.35">
      <c r="A5109" s="401">
        <v>44928</v>
      </c>
      <c r="B5109" s="403">
        <v>2.7424133117342699E+20</v>
      </c>
    </row>
    <row r="5110" spans="1:2" ht="12.9" x14ac:dyDescent="0.35">
      <c r="A5110" s="401">
        <v>44929</v>
      </c>
      <c r="B5110" s="403">
        <v>2.60999288319403E+20</v>
      </c>
    </row>
    <row r="5111" spans="1:2" ht="12.9" x14ac:dyDescent="0.35">
      <c r="A5111" s="401">
        <v>44930</v>
      </c>
      <c r="B5111" s="403">
        <v>2.42356482010875E+20</v>
      </c>
    </row>
    <row r="5112" spans="1:2" ht="12.9" x14ac:dyDescent="0.35">
      <c r="A5112" s="401">
        <v>44931</v>
      </c>
      <c r="B5112" s="403">
        <v>2.6608369003991099E+20</v>
      </c>
    </row>
    <row r="5113" spans="1:2" ht="12.9" x14ac:dyDescent="0.35">
      <c r="A5113" s="401">
        <v>44932</v>
      </c>
      <c r="B5113" s="403">
        <v>3.05064103230472E+20</v>
      </c>
    </row>
    <row r="5114" spans="1:2" ht="12.9" x14ac:dyDescent="0.35">
      <c r="A5114" s="401">
        <v>44933</v>
      </c>
      <c r="B5114" s="403">
        <v>2.60999288319403E+20</v>
      </c>
    </row>
    <row r="5115" spans="1:2" ht="12.9" x14ac:dyDescent="0.35">
      <c r="A5115" s="401">
        <v>44934</v>
      </c>
      <c r="B5115" s="403">
        <v>2.59304487745901E+20</v>
      </c>
    </row>
    <row r="5116" spans="1:2" ht="12.9" x14ac:dyDescent="0.35">
      <c r="A5116" s="401">
        <v>44935</v>
      </c>
      <c r="B5116" s="403">
        <v>2.5760968717239799E+20</v>
      </c>
    </row>
    <row r="5117" spans="1:2" ht="12.9" x14ac:dyDescent="0.35">
      <c r="A5117" s="401">
        <v>44936</v>
      </c>
      <c r="B5117" s="403">
        <v>2.8642129692194302E+20</v>
      </c>
    </row>
    <row r="5118" spans="1:2" ht="12.9" x14ac:dyDescent="0.35">
      <c r="A5118" s="401">
        <v>44937</v>
      </c>
      <c r="B5118" s="403">
        <v>2.4913568430488499E+20</v>
      </c>
    </row>
    <row r="5119" spans="1:2" ht="12.9" x14ac:dyDescent="0.35">
      <c r="A5119" s="401">
        <v>44938</v>
      </c>
      <c r="B5119" s="403">
        <v>2.5591488659889599E+20</v>
      </c>
    </row>
    <row r="5120" spans="1:2" ht="12.9" x14ac:dyDescent="0.35">
      <c r="A5120" s="401">
        <v>44939</v>
      </c>
      <c r="B5120" s="403">
        <v>2.69473291186916E+20</v>
      </c>
    </row>
    <row r="5121" spans="1:2" ht="12.9" x14ac:dyDescent="0.35">
      <c r="A5121" s="401">
        <v>44940</v>
      </c>
      <c r="B5121" s="403">
        <v>2.8981089806894799E+20</v>
      </c>
    </row>
    <row r="5122" spans="1:2" ht="12.9" x14ac:dyDescent="0.35">
      <c r="A5122" s="401">
        <v>44941</v>
      </c>
      <c r="B5122" s="403">
        <v>2.76252493480927E+20</v>
      </c>
    </row>
    <row r="5123" spans="1:2" ht="12.9" x14ac:dyDescent="0.35">
      <c r="A5123" s="401">
        <v>44942</v>
      </c>
      <c r="B5123" s="403">
        <v>2.74688843247083E+20</v>
      </c>
    </row>
    <row r="5124" spans="1:2" ht="12.9" x14ac:dyDescent="0.35">
      <c r="A5124" s="401">
        <v>44943</v>
      </c>
      <c r="B5124" s="403">
        <v>2.91506527527517E+20</v>
      </c>
    </row>
    <row r="5125" spans="1:2" ht="12.9" x14ac:dyDescent="0.35">
      <c r="A5125" s="401">
        <v>44944</v>
      </c>
      <c r="B5125" s="403">
        <v>2.6160842214008E+20</v>
      </c>
    </row>
    <row r="5126" spans="1:2" ht="12.9" x14ac:dyDescent="0.35">
      <c r="A5126" s="401">
        <v>44945</v>
      </c>
      <c r="B5126" s="403">
        <v>2.7095158007365399E+20</v>
      </c>
    </row>
    <row r="5127" spans="1:2" ht="12.9" x14ac:dyDescent="0.35">
      <c r="A5127" s="401">
        <v>44946</v>
      </c>
      <c r="B5127" s="403">
        <v>2.4665936944636101E+20</v>
      </c>
    </row>
    <row r="5128" spans="1:2" ht="12.9" x14ac:dyDescent="0.35">
      <c r="A5128" s="401">
        <v>44947</v>
      </c>
      <c r="B5128" s="403">
        <v>2.5787115896665001E+20</v>
      </c>
    </row>
    <row r="5129" spans="1:2" ht="12.9" x14ac:dyDescent="0.35">
      <c r="A5129" s="401">
        <v>44948</v>
      </c>
      <c r="B5129" s="403">
        <v>2.82163369593943E+20</v>
      </c>
    </row>
    <row r="5130" spans="1:2" ht="12.9" x14ac:dyDescent="0.35">
      <c r="A5130" s="401">
        <v>44949</v>
      </c>
      <c r="B5130" s="403">
        <v>2.9524379070094698E+20</v>
      </c>
    </row>
    <row r="5131" spans="1:2" ht="12.9" x14ac:dyDescent="0.35">
      <c r="A5131" s="401">
        <v>44950</v>
      </c>
      <c r="B5131" s="403">
        <v>2.4105347468621601E+20</v>
      </c>
    </row>
    <row r="5132" spans="1:2" ht="12.9" x14ac:dyDescent="0.35">
      <c r="A5132" s="401">
        <v>44951</v>
      </c>
      <c r="B5132" s="403">
        <v>3.2701052767509997E+20</v>
      </c>
    </row>
    <row r="5133" spans="1:2" ht="12.9" x14ac:dyDescent="0.35">
      <c r="A5133" s="401">
        <v>44952</v>
      </c>
      <c r="B5133" s="403">
        <v>2.8963789594080199E+20</v>
      </c>
    </row>
    <row r="5134" spans="1:2" ht="12.9" x14ac:dyDescent="0.35">
      <c r="A5134" s="401">
        <v>44953</v>
      </c>
      <c r="B5134" s="403">
        <v>2.8776926435408799E+20</v>
      </c>
    </row>
    <row r="5135" spans="1:2" ht="12.9" x14ac:dyDescent="0.35">
      <c r="A5135" s="401">
        <v>44954</v>
      </c>
      <c r="B5135" s="403">
        <v>3.1393010656809602E+20</v>
      </c>
    </row>
    <row r="5136" spans="1:2" ht="12.9" x14ac:dyDescent="0.35">
      <c r="A5136" s="401">
        <v>44955</v>
      </c>
      <c r="B5136" s="403">
        <v>3.1493949960073603E+20</v>
      </c>
    </row>
    <row r="5137" spans="1:2" ht="12.9" x14ac:dyDescent="0.35">
      <c r="A5137" s="401">
        <v>44956</v>
      </c>
      <c r="B5137" s="403">
        <v>2.69948142514916E+20</v>
      </c>
    </row>
    <row r="5138" spans="1:2" ht="12.9" x14ac:dyDescent="0.35">
      <c r="A5138" s="401">
        <v>44957</v>
      </c>
      <c r="B5138" s="403">
        <v>2.2495678542909699E+20</v>
      </c>
    </row>
    <row r="5139" spans="1:2" ht="12.9" x14ac:dyDescent="0.35">
      <c r="A5139" s="401">
        <v>44958</v>
      </c>
      <c r="B5139" s="403">
        <v>2.67991996554663E+20</v>
      </c>
    </row>
    <row r="5140" spans="1:2" ht="12.9" x14ac:dyDescent="0.35">
      <c r="A5140" s="401">
        <v>44959</v>
      </c>
      <c r="B5140" s="403">
        <v>2.83641164236688E+20</v>
      </c>
    </row>
    <row r="5141" spans="1:2" ht="12.9" x14ac:dyDescent="0.35">
      <c r="A5141" s="401">
        <v>44960</v>
      </c>
      <c r="B5141" s="403">
        <v>2.6016741271365101E+20</v>
      </c>
    </row>
    <row r="5142" spans="1:2" ht="12.9" x14ac:dyDescent="0.35">
      <c r="A5142" s="401">
        <v>44961</v>
      </c>
      <c r="B5142" s="403">
        <v>2.6603585059441E+20</v>
      </c>
    </row>
    <row r="5143" spans="1:2" ht="12.9" x14ac:dyDescent="0.35">
      <c r="A5143" s="401">
        <v>44962</v>
      </c>
      <c r="B5143" s="403">
        <v>2.9733418595845898E+20</v>
      </c>
    </row>
    <row r="5144" spans="1:2" ht="12.9" x14ac:dyDescent="0.35">
      <c r="A5144" s="401">
        <v>44963</v>
      </c>
      <c r="B5144" s="403">
        <v>2.8950960211744699E+20</v>
      </c>
    </row>
    <row r="5145" spans="1:2" ht="12.9" x14ac:dyDescent="0.35">
      <c r="A5145" s="401">
        <v>44964</v>
      </c>
      <c r="B5145" s="403">
        <v>2.7777272635592799E+20</v>
      </c>
    </row>
    <row r="5146" spans="1:2" ht="12.9" x14ac:dyDescent="0.35">
      <c r="A5146" s="401">
        <v>44965</v>
      </c>
      <c r="B5146" s="403">
        <v>2.69948142514916E+20</v>
      </c>
    </row>
    <row r="5147" spans="1:2" ht="12.9" x14ac:dyDescent="0.35">
      <c r="A5147" s="401">
        <v>44966</v>
      </c>
      <c r="B5147" s="403">
        <v>3.1689564556098902E+20</v>
      </c>
    </row>
    <row r="5148" spans="1:2" ht="12.9" x14ac:dyDescent="0.35">
      <c r="A5148" s="401">
        <v>44967</v>
      </c>
      <c r="B5148" s="403">
        <v>2.8755345615719399E+20</v>
      </c>
    </row>
    <row r="5149" spans="1:2" ht="12.9" x14ac:dyDescent="0.35">
      <c r="A5149" s="401">
        <v>44968</v>
      </c>
      <c r="B5149" s="403">
        <v>2.8950960211744699E+20</v>
      </c>
    </row>
    <row r="5150" spans="1:2" ht="12.9" x14ac:dyDescent="0.35">
      <c r="A5150" s="401">
        <v>44969</v>
      </c>
      <c r="B5150" s="403">
        <v>3.1532898315704297E+20</v>
      </c>
    </row>
    <row r="5151" spans="1:2" ht="12.9" x14ac:dyDescent="0.35">
      <c r="A5151" s="401">
        <v>44970</v>
      </c>
      <c r="B5151" s="403">
        <v>3.0365013192900503E+20</v>
      </c>
    </row>
    <row r="5152" spans="1:2" ht="12.9" x14ac:dyDescent="0.35">
      <c r="A5152" s="401">
        <v>44971</v>
      </c>
      <c r="B5152" s="403">
        <v>2.9975718151965802E+20</v>
      </c>
    </row>
    <row r="5153" spans="1:2" ht="12.9" x14ac:dyDescent="0.35">
      <c r="A5153" s="401">
        <v>44972</v>
      </c>
      <c r="B5153" s="403">
        <v>3.1727545836171598E+20</v>
      </c>
    </row>
    <row r="5154" spans="1:2" ht="12.9" x14ac:dyDescent="0.35">
      <c r="A5154" s="401">
        <v>44973</v>
      </c>
      <c r="B5154" s="403">
        <v>3.48419061636486E+20</v>
      </c>
    </row>
    <row r="5155" spans="1:2" ht="12.9" x14ac:dyDescent="0.35">
      <c r="A5155" s="401">
        <v>44974</v>
      </c>
      <c r="B5155" s="403">
        <v>3.2116840877106299E+20</v>
      </c>
    </row>
    <row r="5156" spans="1:2" ht="12.9" x14ac:dyDescent="0.35">
      <c r="A5156" s="401">
        <v>44975</v>
      </c>
      <c r="B5156" s="403">
        <v>3.2700783438508202E+20</v>
      </c>
    </row>
    <row r="5157" spans="1:2" ht="12.9" x14ac:dyDescent="0.35">
      <c r="A5157" s="401">
        <v>44976</v>
      </c>
      <c r="B5157" s="403">
        <v>3.1532898315704297E+20</v>
      </c>
    </row>
    <row r="5158" spans="1:2" ht="12.9" x14ac:dyDescent="0.35">
      <c r="A5158" s="401">
        <v>44977</v>
      </c>
      <c r="B5158" s="403">
        <v>2.8613185508694701E+20</v>
      </c>
    </row>
    <row r="5159" spans="1:2" ht="12.9" x14ac:dyDescent="0.35">
      <c r="A5159" s="401">
        <v>44978</v>
      </c>
      <c r="B5159" s="403">
        <v>3.2506135918040901E+20</v>
      </c>
    </row>
    <row r="5160" spans="1:2" ht="12.9" x14ac:dyDescent="0.35">
      <c r="A5160" s="401">
        <v>44979</v>
      </c>
      <c r="B5160" s="403">
        <v>2.7250652865423501E+20</v>
      </c>
    </row>
    <row r="5161" spans="1:2" ht="12.9" x14ac:dyDescent="0.35">
      <c r="A5161" s="401">
        <v>44980</v>
      </c>
      <c r="B5161" s="403">
        <v>3.3284725999910099E+20</v>
      </c>
    </row>
    <row r="5162" spans="1:2" ht="12.9" x14ac:dyDescent="0.35">
      <c r="A5162" s="401">
        <v>44981</v>
      </c>
      <c r="B5162" s="403">
        <v>2.62774152630869E+20</v>
      </c>
    </row>
    <row r="5163" spans="1:2" ht="12.9" x14ac:dyDescent="0.35">
      <c r="A5163" s="401">
        <v>44982</v>
      </c>
      <c r="B5163" s="403">
        <v>2.2900334777152999E+20</v>
      </c>
    </row>
    <row r="5164" spans="1:2" ht="12.9" x14ac:dyDescent="0.35">
      <c r="A5164" s="401">
        <v>44983</v>
      </c>
      <c r="B5164" s="403">
        <v>3.5955665818333702E+20</v>
      </c>
    </row>
    <row r="5165" spans="1:2" ht="12.9" x14ac:dyDescent="0.35">
      <c r="A5165" s="401">
        <v>44984</v>
      </c>
      <c r="B5165" s="403">
        <v>2.9963054848611398E+20</v>
      </c>
    </row>
    <row r="5166" spans="1:2" ht="12.9" x14ac:dyDescent="0.35">
      <c r="A5166" s="401">
        <v>44985</v>
      </c>
      <c r="B5166" s="403">
        <v>2.9320989387569699E+20</v>
      </c>
    </row>
    <row r="5167" spans="1:2" ht="12.9" x14ac:dyDescent="0.35">
      <c r="A5167" s="401">
        <v>44986</v>
      </c>
      <c r="B5167" s="403">
        <v>3.6383709459028201E+20</v>
      </c>
    </row>
    <row r="5168" spans="1:2" ht="12.9" x14ac:dyDescent="0.35">
      <c r="A5168" s="401">
        <v>44987</v>
      </c>
      <c r="B5168" s="403">
        <v>3.0819142130000298E+20</v>
      </c>
    </row>
    <row r="5169" spans="1:2" ht="12.9" x14ac:dyDescent="0.35">
      <c r="A5169" s="401">
        <v>44988</v>
      </c>
      <c r="B5169" s="403">
        <v>3.5955665818333702E+20</v>
      </c>
    </row>
    <row r="5170" spans="1:2" ht="12.9" x14ac:dyDescent="0.35">
      <c r="A5170" s="401">
        <v>44989</v>
      </c>
      <c r="B5170" s="403">
        <v>3.2531316692778097E+20</v>
      </c>
    </row>
    <row r="5171" spans="1:2" ht="12.9" x14ac:dyDescent="0.35">
      <c r="A5171" s="401">
        <v>44990</v>
      </c>
      <c r="B5171" s="403">
        <v>3.3173382153819803E+20</v>
      </c>
    </row>
    <row r="5172" spans="1:2" ht="12.9" x14ac:dyDescent="0.35">
      <c r="A5172" s="401">
        <v>44991</v>
      </c>
      <c r="B5172" s="403">
        <v>2.8250880285833599E+20</v>
      </c>
    </row>
    <row r="5173" spans="1:2" ht="12.9" x14ac:dyDescent="0.35">
      <c r="A5173" s="401">
        <v>44992</v>
      </c>
      <c r="B5173" s="403">
        <v>3.5313600357292003E+20</v>
      </c>
    </row>
    <row r="5174" spans="1:2" ht="12.9" x14ac:dyDescent="0.35">
      <c r="A5174" s="401">
        <v>44993</v>
      </c>
      <c r="B5174" s="403">
        <v>2.84649021061808E+20</v>
      </c>
    </row>
    <row r="5175" spans="1:2" ht="12.9" x14ac:dyDescent="0.35">
      <c r="A5175" s="401">
        <v>44994</v>
      </c>
      <c r="B5175" s="403">
        <v>2.8892945746875299E+20</v>
      </c>
    </row>
    <row r="5176" spans="1:2" ht="12.9" x14ac:dyDescent="0.35">
      <c r="A5176" s="401">
        <v>44995</v>
      </c>
      <c r="B5176" s="403">
        <v>2.9106967567222499E+20</v>
      </c>
    </row>
    <row r="5177" spans="1:2" ht="12.9" x14ac:dyDescent="0.35">
      <c r="A5177" s="401">
        <v>44996</v>
      </c>
      <c r="B5177" s="403">
        <v>3.5721969592192998E+20</v>
      </c>
    </row>
    <row r="5178" spans="1:2" ht="12.9" x14ac:dyDescent="0.35">
      <c r="A5178" s="401">
        <v>44997</v>
      </c>
      <c r="B5178" s="403">
        <v>3.4855982450564098E+20</v>
      </c>
    </row>
    <row r="5179" spans="1:2" ht="12.9" x14ac:dyDescent="0.35">
      <c r="A5179" s="401">
        <v>44998</v>
      </c>
      <c r="B5179" s="403">
        <v>3.3989995308935197E+20</v>
      </c>
    </row>
    <row r="5180" spans="1:2" ht="12.9" x14ac:dyDescent="0.35">
      <c r="A5180" s="401">
        <v>44999</v>
      </c>
      <c r="B5180" s="403">
        <v>3.1608530669455599E+20</v>
      </c>
    </row>
    <row r="5181" spans="1:2" ht="12.9" x14ac:dyDescent="0.35">
      <c r="A5181" s="401">
        <v>45000</v>
      </c>
      <c r="B5181" s="403">
        <v>3.1825027454862898E+20</v>
      </c>
    </row>
    <row r="5182" spans="1:2" ht="12.9" x14ac:dyDescent="0.35">
      <c r="A5182" s="401">
        <v>45001</v>
      </c>
      <c r="B5182" s="403">
        <v>2.9010569244568899E+20</v>
      </c>
    </row>
    <row r="5183" spans="1:2" ht="12.9" x14ac:dyDescent="0.35">
      <c r="A5183" s="401">
        <v>45002</v>
      </c>
      <c r="B5183" s="403">
        <v>3.1825027454862898E+20</v>
      </c>
    </row>
    <row r="5184" spans="1:2" ht="12.9" x14ac:dyDescent="0.35">
      <c r="A5184" s="401">
        <v>45003</v>
      </c>
      <c r="B5184" s="403">
        <v>3.5072479235971298E+20</v>
      </c>
    </row>
    <row r="5185" spans="1:2" ht="12.9" x14ac:dyDescent="0.35">
      <c r="A5185" s="401">
        <v>45004</v>
      </c>
      <c r="B5185" s="403">
        <v>3.2041524240270098E+20</v>
      </c>
    </row>
    <row r="5186" spans="1:2" ht="12.9" x14ac:dyDescent="0.35">
      <c r="A5186" s="401">
        <v>45005</v>
      </c>
      <c r="B5186" s="403">
        <v>3.3340504952713498E+20</v>
      </c>
    </row>
    <row r="5187" spans="1:2" ht="12.9" x14ac:dyDescent="0.35">
      <c r="A5187" s="401">
        <v>45006</v>
      </c>
      <c r="B5187" s="403">
        <v>3.1392033884048399E+20</v>
      </c>
    </row>
    <row r="5188" spans="1:2" ht="12.9" x14ac:dyDescent="0.35">
      <c r="A5188" s="401">
        <v>45007</v>
      </c>
      <c r="B5188" s="403">
        <v>3.4422988879749598E+20</v>
      </c>
    </row>
    <row r="5189" spans="1:2" ht="12.9" x14ac:dyDescent="0.35">
      <c r="A5189" s="401">
        <v>45008</v>
      </c>
      <c r="B5189" s="403">
        <v>3.9618911729523202E+20</v>
      </c>
    </row>
    <row r="5190" spans="1:2" ht="12.9" x14ac:dyDescent="0.35">
      <c r="A5190" s="401">
        <v>45009</v>
      </c>
      <c r="B5190" s="403">
        <v>3.7723288549311499E+20</v>
      </c>
    </row>
    <row r="5191" spans="1:2" ht="12.9" x14ac:dyDescent="0.35">
      <c r="A5191" s="401">
        <v>45010</v>
      </c>
      <c r="B5191" s="403">
        <v>3.3764671849692398E+20</v>
      </c>
    </row>
    <row r="5192" spans="1:2" ht="12.9" x14ac:dyDescent="0.35">
      <c r="A5192" s="401">
        <v>45011</v>
      </c>
      <c r="B5192" s="403">
        <v>3.35318120438324E+20</v>
      </c>
    </row>
    <row r="5193" spans="1:2" ht="12.9" x14ac:dyDescent="0.35">
      <c r="A5193" s="401">
        <v>45012</v>
      </c>
      <c r="B5193" s="403">
        <v>3.4463251267272199E+20</v>
      </c>
    </row>
    <row r="5194" spans="1:2" ht="12.9" x14ac:dyDescent="0.35">
      <c r="A5194" s="401">
        <v>45013</v>
      </c>
      <c r="B5194" s="403">
        <v>3.1203213985232899E+20</v>
      </c>
    </row>
    <row r="5195" spans="1:2" ht="12.9" x14ac:dyDescent="0.35">
      <c r="A5195" s="401">
        <v>45014</v>
      </c>
      <c r="B5195" s="403">
        <v>3.42303914614123E+20</v>
      </c>
    </row>
    <row r="5196" spans="1:2" ht="12.9" x14ac:dyDescent="0.35">
      <c r="A5196" s="401">
        <v>45015</v>
      </c>
      <c r="B5196" s="403">
        <v>3.60932699082918E+20</v>
      </c>
    </row>
    <row r="5197" spans="1:2" ht="12.9" x14ac:dyDescent="0.35">
      <c r="A5197" s="401">
        <v>45016</v>
      </c>
      <c r="B5197" s="403">
        <v>3.2833232626252598E+20</v>
      </c>
    </row>
    <row r="5198" spans="1:2" ht="12.9" x14ac:dyDescent="0.35">
      <c r="A5198" s="401">
        <v>45017</v>
      </c>
      <c r="B5198" s="403">
        <v>3.2600372820392601E+20</v>
      </c>
    </row>
    <row r="5199" spans="1:2" ht="12.9" x14ac:dyDescent="0.35">
      <c r="A5199" s="401">
        <v>45018</v>
      </c>
      <c r="B5199" s="403">
        <v>3.4696111073132203E+20</v>
      </c>
    </row>
    <row r="5200" spans="1:2" ht="12.9" x14ac:dyDescent="0.35">
      <c r="A5200" s="401">
        <v>45019</v>
      </c>
      <c r="B5200" s="403">
        <v>3.0504634567653097E+20</v>
      </c>
    </row>
    <row r="5201" spans="1:2" ht="12.9" x14ac:dyDescent="0.35">
      <c r="A5201" s="401">
        <v>45020</v>
      </c>
      <c r="B5201" s="403">
        <v>3.7723288549311499E+20</v>
      </c>
    </row>
    <row r="5202" spans="1:2" ht="12.9" x14ac:dyDescent="0.35">
      <c r="A5202" s="401">
        <v>45021</v>
      </c>
      <c r="B5202" s="403">
        <v>3.2367513014532702E+20</v>
      </c>
    </row>
    <row r="5203" spans="1:2" ht="12.9" x14ac:dyDescent="0.35">
      <c r="A5203" s="401">
        <v>45022</v>
      </c>
      <c r="B5203" s="403">
        <v>3.7257568937591603E+20</v>
      </c>
    </row>
    <row r="5204" spans="1:2" ht="12.9" x14ac:dyDescent="0.35">
      <c r="A5204" s="401">
        <v>45023</v>
      </c>
      <c r="B5204" s="403">
        <v>3.3803294216648897E+20</v>
      </c>
    </row>
    <row r="5205" spans="1:2" ht="12.9" x14ac:dyDescent="0.35">
      <c r="A5205" s="401">
        <v>45024</v>
      </c>
      <c r="B5205" s="403">
        <v>3.4993551055263302E+20</v>
      </c>
    </row>
    <row r="5206" spans="1:2" ht="12.9" x14ac:dyDescent="0.35">
      <c r="A5206" s="401">
        <v>45025</v>
      </c>
      <c r="B5206" s="403">
        <v>3.4755499687540398E+20</v>
      </c>
    </row>
    <row r="5207" spans="1:2" ht="12.9" x14ac:dyDescent="0.35">
      <c r="A5207" s="401">
        <v>45026</v>
      </c>
      <c r="B5207" s="403">
        <v>2.92803182299142E+20</v>
      </c>
    </row>
    <row r="5208" spans="1:2" ht="12.9" x14ac:dyDescent="0.35">
      <c r="A5208" s="401">
        <v>45027</v>
      </c>
      <c r="B5208" s="403">
        <v>3.6659910629323499E+20</v>
      </c>
    </row>
    <row r="5209" spans="1:2" ht="12.9" x14ac:dyDescent="0.35">
      <c r="A5209" s="401">
        <v>45028</v>
      </c>
      <c r="B5209" s="403">
        <v>3.8088218835660702E+20</v>
      </c>
    </row>
    <row r="5210" spans="1:2" ht="12.9" x14ac:dyDescent="0.35">
      <c r="A5210" s="401">
        <v>45029</v>
      </c>
      <c r="B5210" s="403">
        <v>3.3803294216648897E+20</v>
      </c>
    </row>
    <row r="5211" spans="1:2" ht="12.9" x14ac:dyDescent="0.35">
      <c r="A5211" s="401">
        <v>45030</v>
      </c>
      <c r="B5211" s="403">
        <v>3.3327191481203098E+20</v>
      </c>
    </row>
    <row r="5212" spans="1:2" ht="12.9" x14ac:dyDescent="0.35">
      <c r="A5212" s="401">
        <v>45031</v>
      </c>
      <c r="B5212" s="403">
        <v>3.7612116100215E+20</v>
      </c>
    </row>
    <row r="5213" spans="1:2" ht="12.9" x14ac:dyDescent="0.35">
      <c r="A5213" s="401">
        <v>45032</v>
      </c>
      <c r="B5213" s="403">
        <v>2.95183695976371E+20</v>
      </c>
    </row>
    <row r="5214" spans="1:2" ht="12.9" x14ac:dyDescent="0.35">
      <c r="A5214" s="401">
        <v>45033</v>
      </c>
      <c r="B5214" s="403">
        <v>3.6897961997046297E+20</v>
      </c>
    </row>
    <row r="5215" spans="1:2" ht="12.9" x14ac:dyDescent="0.35">
      <c r="A5215" s="401">
        <v>45034</v>
      </c>
      <c r="B5215" s="403">
        <v>3.9516527041998003E+20</v>
      </c>
    </row>
    <row r="5216" spans="1:2" ht="12.9" x14ac:dyDescent="0.35">
      <c r="A5216" s="401">
        <v>45035</v>
      </c>
      <c r="B5216" s="403">
        <v>3.3089140113480299E+20</v>
      </c>
    </row>
    <row r="5217" spans="1:2" ht="12.9" x14ac:dyDescent="0.35">
      <c r="A5217" s="401">
        <v>45036</v>
      </c>
      <c r="B5217" s="403">
        <v>3.2206040895358599E+20</v>
      </c>
    </row>
    <row r="5218" spans="1:2" ht="12.9" x14ac:dyDescent="0.35">
      <c r="A5218" s="401">
        <v>45037</v>
      </c>
      <c r="B5218" s="403">
        <v>3.5111849096443599E+20</v>
      </c>
    </row>
    <row r="5219" spans="1:2" ht="12.9" x14ac:dyDescent="0.35">
      <c r="A5219" s="401">
        <v>45038</v>
      </c>
      <c r="B5219" s="403">
        <v>3.6080451830138601E+20</v>
      </c>
    </row>
    <row r="5220" spans="1:2" ht="12.9" x14ac:dyDescent="0.35">
      <c r="A5220" s="401">
        <v>45039</v>
      </c>
      <c r="B5220" s="403">
        <v>3.5596150463291097E+20</v>
      </c>
    </row>
    <row r="5221" spans="1:2" ht="12.9" x14ac:dyDescent="0.35">
      <c r="A5221" s="401">
        <v>45040</v>
      </c>
      <c r="B5221" s="403">
        <v>3.4143246362748597E+20</v>
      </c>
    </row>
    <row r="5222" spans="1:2" ht="12.9" x14ac:dyDescent="0.35">
      <c r="A5222" s="401">
        <v>45041</v>
      </c>
      <c r="B5222" s="403">
        <v>3.0268835427968601E+20</v>
      </c>
    </row>
    <row r="5223" spans="1:2" ht="12.9" x14ac:dyDescent="0.35">
      <c r="A5223" s="401">
        <v>45042</v>
      </c>
      <c r="B5223" s="403">
        <v>3.1479588845087398E+20</v>
      </c>
    </row>
    <row r="5224" spans="1:2" ht="12.9" x14ac:dyDescent="0.35">
      <c r="A5224" s="401">
        <v>45043</v>
      </c>
      <c r="B5224" s="403">
        <v>3.1479588845087398E+20</v>
      </c>
    </row>
    <row r="5225" spans="1:2" ht="12.9" x14ac:dyDescent="0.35">
      <c r="A5225" s="401">
        <v>45044</v>
      </c>
      <c r="B5225" s="403">
        <v>3.5596150463291097E+20</v>
      </c>
    </row>
    <row r="5226" spans="1:2" ht="12.9" x14ac:dyDescent="0.35">
      <c r="A5226" s="401">
        <v>45045</v>
      </c>
      <c r="B5226" s="403">
        <v>3.3174643629053601E+20</v>
      </c>
    </row>
    <row r="5227" spans="1:2" ht="12.9" x14ac:dyDescent="0.35">
      <c r="A5227" s="401">
        <v>45046</v>
      </c>
      <c r="B5227" s="403">
        <v>3.58383011467148E+20</v>
      </c>
    </row>
    <row r="5228" spans="1:2" ht="12.9" x14ac:dyDescent="0.35">
      <c r="A5228" s="401">
        <v>45047</v>
      </c>
      <c r="B5228" s="403">
        <v>4.4071424383122303E+20</v>
      </c>
    </row>
    <row r="5229" spans="1:2" ht="12.9" x14ac:dyDescent="0.35">
      <c r="A5229" s="401">
        <v>45048</v>
      </c>
      <c r="B5229" s="403">
        <v>3.1237438161663597E+20</v>
      </c>
    </row>
    <row r="5230" spans="1:2" ht="12.9" x14ac:dyDescent="0.35">
      <c r="A5230" s="401">
        <v>45049</v>
      </c>
      <c r="B5230" s="403">
        <v>3.4143246362748597E+20</v>
      </c>
    </row>
    <row r="5231" spans="1:2" ht="12.9" x14ac:dyDescent="0.35">
      <c r="A5231" s="401">
        <v>45050</v>
      </c>
      <c r="B5231" s="403">
        <v>3.5353999779867302E+20</v>
      </c>
    </row>
    <row r="5232" spans="1:2" ht="12.9" x14ac:dyDescent="0.35">
      <c r="A5232" s="401">
        <v>45051</v>
      </c>
      <c r="B5232" s="403">
        <v>2.8397779847865002E+20</v>
      </c>
    </row>
    <row r="5233" spans="1:2" ht="12.9" x14ac:dyDescent="0.35">
      <c r="A5233" s="401">
        <v>45052</v>
      </c>
      <c r="B5233" s="403">
        <v>3.55568840111923E+20</v>
      </c>
    </row>
    <row r="5234" spans="1:2" ht="12.9" x14ac:dyDescent="0.35">
      <c r="A5234" s="401">
        <v>45053</v>
      </c>
      <c r="B5234" s="403">
        <v>3.3170515956749802E+20</v>
      </c>
    </row>
    <row r="5235" spans="1:2" ht="12.9" x14ac:dyDescent="0.35">
      <c r="A5235" s="401">
        <v>45054</v>
      </c>
      <c r="B5235" s="403">
        <v>3.2693242345861402E+20</v>
      </c>
    </row>
    <row r="5236" spans="1:2" ht="12.9" x14ac:dyDescent="0.35">
      <c r="A5236" s="401">
        <v>45055</v>
      </c>
      <c r="B5236" s="403">
        <v>3.6034157622080799E+20</v>
      </c>
    </row>
    <row r="5237" spans="1:2" ht="12.9" x14ac:dyDescent="0.35">
      <c r="A5237" s="401">
        <v>45056</v>
      </c>
      <c r="B5237" s="403">
        <v>4.0568256925521399E+20</v>
      </c>
    </row>
    <row r="5238" spans="1:2" ht="12.9" x14ac:dyDescent="0.35">
      <c r="A5238" s="401">
        <v>45057</v>
      </c>
      <c r="B5238" s="403">
        <v>3.6034157622080799E+20</v>
      </c>
    </row>
    <row r="5239" spans="1:2" ht="12.9" x14ac:dyDescent="0.35">
      <c r="A5239" s="401">
        <v>45058</v>
      </c>
      <c r="B5239" s="403">
        <v>3.36477895676383E+20</v>
      </c>
    </row>
    <row r="5240" spans="1:2" ht="12.9" x14ac:dyDescent="0.35">
      <c r="A5240" s="401">
        <v>45059</v>
      </c>
      <c r="B5240" s="403">
        <v>3.4602336789415297E+20</v>
      </c>
    </row>
    <row r="5241" spans="1:2" ht="12.9" x14ac:dyDescent="0.35">
      <c r="A5241" s="401">
        <v>45060</v>
      </c>
      <c r="B5241" s="403">
        <v>4.1522804147298402E+20</v>
      </c>
    </row>
    <row r="5242" spans="1:2" ht="12.9" x14ac:dyDescent="0.35">
      <c r="A5242" s="401">
        <v>45061</v>
      </c>
      <c r="B5242" s="403">
        <v>3.5079610400303802E+20</v>
      </c>
    </row>
    <row r="5243" spans="1:2" ht="12.9" x14ac:dyDescent="0.35">
      <c r="A5243" s="401">
        <v>45062</v>
      </c>
      <c r="B5243" s="403">
        <v>3.6511431232969297E+20</v>
      </c>
    </row>
    <row r="5244" spans="1:2" ht="12.9" x14ac:dyDescent="0.35">
      <c r="A5244" s="401">
        <v>45063</v>
      </c>
      <c r="B5244" s="403">
        <v>3.8181888871078999E+20</v>
      </c>
    </row>
    <row r="5245" spans="1:2" ht="12.9" x14ac:dyDescent="0.35">
      <c r="A5245" s="401">
        <v>45064</v>
      </c>
      <c r="B5245" s="403">
        <v>3.4730120381571E+20</v>
      </c>
    </row>
    <row r="5246" spans="1:2" ht="12.9" x14ac:dyDescent="0.35">
      <c r="A5246" s="401">
        <v>45065</v>
      </c>
      <c r="B5246" s="403">
        <v>3.6946936576139297E+20</v>
      </c>
    </row>
    <row r="5247" spans="1:2" ht="12.9" x14ac:dyDescent="0.35">
      <c r="A5247" s="401">
        <v>45066</v>
      </c>
      <c r="B5247" s="403">
        <v>3.2266991276494999E+20</v>
      </c>
    </row>
    <row r="5248" spans="1:2" ht="12.9" x14ac:dyDescent="0.35">
      <c r="A5248" s="401">
        <v>45067</v>
      </c>
      <c r="B5248" s="403">
        <v>3.7193249486646903E+20</v>
      </c>
    </row>
    <row r="5249" spans="1:2" ht="12.9" x14ac:dyDescent="0.35">
      <c r="A5249" s="401">
        <v>45068</v>
      </c>
      <c r="B5249" s="403">
        <v>3.5469059113093798E+20</v>
      </c>
    </row>
    <row r="5250" spans="1:2" ht="12.9" x14ac:dyDescent="0.35">
      <c r="A5250" s="401">
        <v>45069</v>
      </c>
      <c r="B5250" s="403">
        <v>3.7932188218169701E+20</v>
      </c>
    </row>
    <row r="5251" spans="1:2" ht="12.9" x14ac:dyDescent="0.35">
      <c r="A5251" s="401">
        <v>45070</v>
      </c>
      <c r="B5251" s="403">
        <v>3.4730120381571E+20</v>
      </c>
    </row>
    <row r="5252" spans="1:2" ht="12.9" x14ac:dyDescent="0.35">
      <c r="A5252" s="401">
        <v>45071</v>
      </c>
      <c r="B5252" s="403">
        <v>3.7193249486646903E+20</v>
      </c>
    </row>
    <row r="5253" spans="1:2" ht="12.9" x14ac:dyDescent="0.35">
      <c r="A5253" s="401">
        <v>45072</v>
      </c>
      <c r="B5253" s="403">
        <v>3.7685875307662102E+20</v>
      </c>
    </row>
    <row r="5254" spans="1:2" ht="12.9" x14ac:dyDescent="0.35">
      <c r="A5254" s="401">
        <v>45073</v>
      </c>
      <c r="B5254" s="403">
        <v>3.5715372023601398E+20</v>
      </c>
    </row>
    <row r="5255" spans="1:2" ht="12.9" x14ac:dyDescent="0.35">
      <c r="A5255" s="401">
        <v>45074</v>
      </c>
      <c r="B5255" s="403">
        <v>3.9410065681215298E+20</v>
      </c>
    </row>
    <row r="5256" spans="1:2" ht="12.9" x14ac:dyDescent="0.35">
      <c r="A5256" s="401">
        <v>45075</v>
      </c>
      <c r="B5256" s="403">
        <v>3.9902691502230497E+20</v>
      </c>
    </row>
    <row r="5257" spans="1:2" ht="12.9" x14ac:dyDescent="0.35">
      <c r="A5257" s="401">
        <v>45076</v>
      </c>
      <c r="B5257" s="403">
        <v>3.7932188218169701E+20</v>
      </c>
    </row>
    <row r="5258" spans="1:2" ht="12.9" x14ac:dyDescent="0.35">
      <c r="A5258" s="401">
        <v>45077</v>
      </c>
      <c r="B5258" s="403">
        <v>3.4730120381571E+20</v>
      </c>
    </row>
    <row r="5259" spans="1:2" ht="12.9" x14ac:dyDescent="0.35">
      <c r="A5259" s="401">
        <v>45078</v>
      </c>
      <c r="B5259" s="403">
        <v>3.3618720949407698E+20</v>
      </c>
    </row>
    <row r="5260" spans="1:2" ht="12.9" x14ac:dyDescent="0.35">
      <c r="A5260" s="401">
        <v>45079</v>
      </c>
      <c r="B5260" s="403">
        <v>4.1768713906839899E+20</v>
      </c>
    </row>
    <row r="5261" spans="1:2" ht="12.9" x14ac:dyDescent="0.35">
      <c r="A5261" s="401">
        <v>45080</v>
      </c>
      <c r="B5261" s="403">
        <v>3.3109346389568199E+20</v>
      </c>
    </row>
    <row r="5262" spans="1:2" ht="12.9" x14ac:dyDescent="0.35">
      <c r="A5262" s="401">
        <v>45081</v>
      </c>
      <c r="B5262" s="403">
        <v>3.7693717428123802E+20</v>
      </c>
    </row>
    <row r="5263" spans="1:2" ht="12.9" x14ac:dyDescent="0.35">
      <c r="A5263" s="401">
        <v>45082</v>
      </c>
      <c r="B5263" s="403">
        <v>3.51468446289263E+20</v>
      </c>
    </row>
    <row r="5264" spans="1:2" ht="12.9" x14ac:dyDescent="0.35">
      <c r="A5264" s="401">
        <v>45083</v>
      </c>
      <c r="B5264" s="403">
        <v>3.84577792678831E+20</v>
      </c>
    </row>
    <row r="5265" spans="1:2" ht="12.9" x14ac:dyDescent="0.35">
      <c r="A5265" s="401">
        <v>45084</v>
      </c>
      <c r="B5265" s="403">
        <v>3.4382782789167002E+20</v>
      </c>
    </row>
    <row r="5266" spans="1:2" ht="12.9" x14ac:dyDescent="0.35">
      <c r="A5266" s="401">
        <v>45085</v>
      </c>
      <c r="B5266" s="403">
        <v>3.9221841107642397E+20</v>
      </c>
    </row>
    <row r="5267" spans="1:2" ht="12.9" x14ac:dyDescent="0.35">
      <c r="A5267" s="401">
        <v>45086</v>
      </c>
      <c r="B5267" s="403">
        <v>4.3042150306438703E+20</v>
      </c>
    </row>
    <row r="5268" spans="1:2" ht="12.9" x14ac:dyDescent="0.35">
      <c r="A5268" s="401">
        <v>45087</v>
      </c>
      <c r="B5268" s="403">
        <v>3.9221841107642397E+20</v>
      </c>
    </row>
    <row r="5269" spans="1:2" ht="12.9" x14ac:dyDescent="0.35">
      <c r="A5269" s="401">
        <v>45088</v>
      </c>
      <c r="B5269" s="403">
        <v>4.1514026626920199E+20</v>
      </c>
    </row>
    <row r="5270" spans="1:2" ht="12.9" x14ac:dyDescent="0.35">
      <c r="A5270" s="401">
        <v>45089</v>
      </c>
      <c r="B5270" s="403">
        <v>3.9985902947401597E+20</v>
      </c>
    </row>
    <row r="5271" spans="1:2" ht="12.9" x14ac:dyDescent="0.35">
      <c r="A5271" s="401">
        <v>45090</v>
      </c>
      <c r="B5271" s="403">
        <v>3.7439030148204102E+20</v>
      </c>
    </row>
    <row r="5272" spans="1:2" ht="12.9" x14ac:dyDescent="0.35">
      <c r="A5272" s="401">
        <v>45091</v>
      </c>
      <c r="B5272" s="403">
        <v>3.1488488972798702E+20</v>
      </c>
    </row>
    <row r="5273" spans="1:2" ht="12.9" x14ac:dyDescent="0.35">
      <c r="A5273" s="401">
        <v>45092</v>
      </c>
      <c r="B5273" s="403">
        <v>3.8514846016315798E+20</v>
      </c>
    </row>
    <row r="5274" spans="1:2" ht="12.9" x14ac:dyDescent="0.35">
      <c r="A5274" s="401">
        <v>45093</v>
      </c>
      <c r="B5274" s="403">
        <v>3.9816023246596801E+20</v>
      </c>
    </row>
    <row r="5275" spans="1:2" ht="12.9" x14ac:dyDescent="0.35">
      <c r="A5275" s="401">
        <v>45094</v>
      </c>
      <c r="B5275" s="403">
        <v>3.6432962447866298E+20</v>
      </c>
    </row>
    <row r="5276" spans="1:2" ht="12.9" x14ac:dyDescent="0.35">
      <c r="A5276" s="401">
        <v>45095</v>
      </c>
      <c r="B5276" s="403">
        <v>3.9295552354484401E+20</v>
      </c>
    </row>
    <row r="5277" spans="1:2" ht="12.9" x14ac:dyDescent="0.35">
      <c r="A5277" s="401">
        <v>45096</v>
      </c>
      <c r="B5277" s="403">
        <v>3.6953433339978698E+20</v>
      </c>
    </row>
    <row r="5278" spans="1:2" ht="12.9" x14ac:dyDescent="0.35">
      <c r="A5278" s="401">
        <v>45097</v>
      </c>
      <c r="B5278" s="403">
        <v>3.5392020663641598E+20</v>
      </c>
    </row>
    <row r="5279" spans="1:2" ht="12.9" x14ac:dyDescent="0.35">
      <c r="A5279" s="401">
        <v>45098</v>
      </c>
      <c r="B5279" s="403">
        <v>3.1488488972798702E+20</v>
      </c>
    </row>
    <row r="5280" spans="1:2" ht="12.9" x14ac:dyDescent="0.35">
      <c r="A5280" s="401">
        <v>45099</v>
      </c>
      <c r="B5280" s="403">
        <v>3.5652256109697801E+20</v>
      </c>
    </row>
    <row r="5281" spans="1:2" ht="12.9" x14ac:dyDescent="0.35">
      <c r="A5281" s="401">
        <v>45100</v>
      </c>
      <c r="B5281" s="403">
        <v>3.2529430757023502E+20</v>
      </c>
    </row>
    <row r="5282" spans="1:2" ht="12.9" x14ac:dyDescent="0.35">
      <c r="A5282" s="401">
        <v>45101</v>
      </c>
      <c r="B5282" s="403">
        <v>3.7994375124203497E+20</v>
      </c>
    </row>
    <row r="5283" spans="1:2" ht="12.9" x14ac:dyDescent="0.35">
      <c r="A5283" s="401">
        <v>45102</v>
      </c>
      <c r="B5283" s="403">
        <v>3.9816023246596801E+20</v>
      </c>
    </row>
    <row r="5284" spans="1:2" ht="12.9" x14ac:dyDescent="0.35">
      <c r="A5284" s="401">
        <v>45103</v>
      </c>
      <c r="B5284" s="403">
        <v>3.7994375124203497E+20</v>
      </c>
    </row>
    <row r="5285" spans="1:2" ht="12.9" x14ac:dyDescent="0.35">
      <c r="A5285" s="401">
        <v>45104</v>
      </c>
      <c r="B5285" s="403">
        <v>3.6432962447866298E+20</v>
      </c>
    </row>
    <row r="5286" spans="1:2" ht="12.9" x14ac:dyDescent="0.35">
      <c r="A5286" s="401">
        <v>45105</v>
      </c>
      <c r="B5286" s="403">
        <v>2.8105428174068299E+20</v>
      </c>
    </row>
    <row r="5287" spans="1:2" ht="12.9" x14ac:dyDescent="0.35">
      <c r="A5287" s="401">
        <v>45106</v>
      </c>
      <c r="B5287" s="403">
        <v>3.6757494030124299E+20</v>
      </c>
    </row>
    <row r="5288" spans="1:2" ht="12.9" x14ac:dyDescent="0.35">
      <c r="A5288" s="401">
        <v>45107</v>
      </c>
      <c r="B5288" s="403">
        <v>3.9778657923011301E+20</v>
      </c>
    </row>
    <row r="5289" spans="1:2" ht="12.9" x14ac:dyDescent="0.35">
      <c r="A5289" s="401">
        <v>45108</v>
      </c>
      <c r="B5289" s="403">
        <v>3.34845664794968E+20</v>
      </c>
    </row>
    <row r="5290" spans="1:2" ht="12.9" x14ac:dyDescent="0.35">
      <c r="A5290" s="401">
        <v>45109</v>
      </c>
      <c r="B5290" s="403">
        <v>4.30515854736388E+20</v>
      </c>
    </row>
    <row r="5291" spans="1:2" ht="12.9" x14ac:dyDescent="0.35">
      <c r="A5291" s="401">
        <v>45110</v>
      </c>
      <c r="B5291" s="403">
        <v>3.4491621110459099E+20</v>
      </c>
    </row>
    <row r="5292" spans="1:2" ht="12.9" x14ac:dyDescent="0.35">
      <c r="A5292" s="401">
        <v>45111</v>
      </c>
      <c r="B5292" s="403">
        <v>3.5498675741421398E+20</v>
      </c>
    </row>
    <row r="5293" spans="1:2" ht="12.9" x14ac:dyDescent="0.35">
      <c r="A5293" s="401">
        <v>45112</v>
      </c>
      <c r="B5293" s="403">
        <v>3.9275130607530102E+20</v>
      </c>
    </row>
    <row r="5294" spans="1:2" ht="12.9" x14ac:dyDescent="0.35">
      <c r="A5294" s="401">
        <v>45113</v>
      </c>
      <c r="B5294" s="403">
        <v>3.4995148425940297E+20</v>
      </c>
    </row>
    <row r="5295" spans="1:2" ht="12.9" x14ac:dyDescent="0.35">
      <c r="A5295" s="401">
        <v>45114</v>
      </c>
      <c r="B5295" s="403">
        <v>4.4058640104601099E+20</v>
      </c>
    </row>
    <row r="5296" spans="1:2" ht="12.9" x14ac:dyDescent="0.35">
      <c r="A5296" s="401">
        <v>45115</v>
      </c>
      <c r="B5296" s="403">
        <v>4.4813931077822802E+20</v>
      </c>
    </row>
    <row r="5297" spans="1:2" ht="12.9" x14ac:dyDescent="0.35">
      <c r="A5297" s="401">
        <v>45116</v>
      </c>
      <c r="B5297" s="403">
        <v>4.2548058158157601E+20</v>
      </c>
    </row>
    <row r="5298" spans="1:2" ht="12.9" x14ac:dyDescent="0.35">
      <c r="A5298" s="401">
        <v>45117</v>
      </c>
      <c r="B5298" s="403">
        <v>3.8771603292049002E+20</v>
      </c>
    </row>
    <row r="5299" spans="1:2" ht="12.9" x14ac:dyDescent="0.35">
      <c r="A5299" s="401">
        <v>45118</v>
      </c>
      <c r="B5299" s="403">
        <v>3.3988093794977998E+20</v>
      </c>
    </row>
    <row r="5300" spans="1:2" ht="12.9" x14ac:dyDescent="0.35">
      <c r="A5300" s="401">
        <v>45119</v>
      </c>
      <c r="B5300" s="403">
        <v>3.8591120821421199E+20</v>
      </c>
    </row>
    <row r="5301" spans="1:2" ht="12.9" x14ac:dyDescent="0.35">
      <c r="A5301" s="401">
        <v>45120</v>
      </c>
      <c r="B5301" s="403">
        <v>3.2159267351184297E+20</v>
      </c>
    </row>
    <row r="5302" spans="1:2" ht="12.9" x14ac:dyDescent="0.35">
      <c r="A5302" s="401">
        <v>45121</v>
      </c>
      <c r="B5302" s="403">
        <v>3.6983157453861998E+20</v>
      </c>
    </row>
    <row r="5303" spans="1:2" ht="12.9" x14ac:dyDescent="0.35">
      <c r="A5303" s="401">
        <v>45122</v>
      </c>
      <c r="B5303" s="403">
        <v>3.6983157453861998E+20</v>
      </c>
    </row>
    <row r="5304" spans="1:2" ht="12.9" x14ac:dyDescent="0.35">
      <c r="A5304" s="401">
        <v>45123</v>
      </c>
      <c r="B5304" s="403">
        <v>4.1539053661946498E+20</v>
      </c>
    </row>
    <row r="5305" spans="1:2" ht="12.9" x14ac:dyDescent="0.35">
      <c r="A5305" s="401">
        <v>45124</v>
      </c>
      <c r="B5305" s="403">
        <v>3.6447169664675598E+20</v>
      </c>
    </row>
    <row r="5306" spans="1:2" ht="12.9" x14ac:dyDescent="0.35">
      <c r="A5306" s="401">
        <v>45125</v>
      </c>
      <c r="B5306" s="403">
        <v>4.3415010924098899E+20</v>
      </c>
    </row>
    <row r="5307" spans="1:2" ht="12.9" x14ac:dyDescent="0.35">
      <c r="A5307" s="401">
        <v>45126</v>
      </c>
      <c r="B5307" s="403">
        <v>3.9663096399793999E+20</v>
      </c>
    </row>
    <row r="5308" spans="1:2" ht="12.9" x14ac:dyDescent="0.35">
      <c r="A5308" s="401">
        <v>45127</v>
      </c>
      <c r="B5308" s="403">
        <v>3.4303218507930003E+20</v>
      </c>
    </row>
    <row r="5309" spans="1:2" ht="12.9" x14ac:dyDescent="0.35">
      <c r="A5309" s="401">
        <v>45128</v>
      </c>
      <c r="B5309" s="403">
        <v>3.0015316194438703E+20</v>
      </c>
    </row>
    <row r="5310" spans="1:2" ht="12.9" x14ac:dyDescent="0.35">
      <c r="A5310" s="401">
        <v>45129</v>
      </c>
      <c r="B5310" s="403">
        <v>3.5911181875489197E+20</v>
      </c>
    </row>
    <row r="5311" spans="1:2" ht="12.9" x14ac:dyDescent="0.35">
      <c r="A5311" s="401">
        <v>45130</v>
      </c>
      <c r="B5311" s="403">
        <v>3.9395102505200799E+20</v>
      </c>
    </row>
    <row r="5312" spans="1:2" ht="12.9" x14ac:dyDescent="0.35">
      <c r="A5312" s="401">
        <v>45131</v>
      </c>
      <c r="B5312" s="403">
        <v>4.0199084188980498E+20</v>
      </c>
    </row>
    <row r="5313" spans="1:2" ht="12.9" x14ac:dyDescent="0.35">
      <c r="A5313" s="401">
        <v>45132</v>
      </c>
      <c r="B5313" s="403">
        <v>3.6983157453861998E+20</v>
      </c>
    </row>
    <row r="5314" spans="1:2" ht="12.9" x14ac:dyDescent="0.35">
      <c r="A5314" s="401">
        <v>45133</v>
      </c>
      <c r="B5314" s="403">
        <v>3.8591120821421199E+20</v>
      </c>
    </row>
    <row r="5315" spans="1:2" ht="12.9" x14ac:dyDescent="0.35">
      <c r="A5315" s="401">
        <v>45134</v>
      </c>
      <c r="B5315" s="403">
        <v>3.5897312126733202E+20</v>
      </c>
    </row>
    <row r="5316" spans="1:2" ht="12.9" x14ac:dyDescent="0.35">
      <c r="A5316" s="401">
        <v>45135</v>
      </c>
      <c r="B5316" s="403">
        <v>3.6417563027120698E+20</v>
      </c>
    </row>
    <row r="5317" spans="1:2" ht="12.9" x14ac:dyDescent="0.35">
      <c r="A5317" s="401">
        <v>45136</v>
      </c>
      <c r="B5317" s="403">
        <v>3.4336559425570898E+20</v>
      </c>
    </row>
    <row r="5318" spans="1:2" ht="12.9" x14ac:dyDescent="0.35">
      <c r="A5318" s="401">
        <v>45137</v>
      </c>
      <c r="B5318" s="403">
        <v>4.3701075632544802E+20</v>
      </c>
    </row>
    <row r="5319" spans="1:2" ht="12.9" x14ac:dyDescent="0.35">
      <c r="A5319" s="401">
        <v>45138</v>
      </c>
      <c r="B5319" s="403">
        <v>3.6677688477314397E+20</v>
      </c>
    </row>
    <row r="5320" spans="1:2" ht="12.9" x14ac:dyDescent="0.35">
      <c r="A5320" s="401">
        <v>45139</v>
      </c>
      <c r="B5320" s="403">
        <v>3.6157437576926999E+20</v>
      </c>
    </row>
    <row r="5321" spans="1:2" ht="12.9" x14ac:dyDescent="0.35">
      <c r="A5321" s="401">
        <v>45140</v>
      </c>
      <c r="B5321" s="403">
        <v>4.0059319329832698E+20</v>
      </c>
    </row>
    <row r="5322" spans="1:2" ht="12.9" x14ac:dyDescent="0.35">
      <c r="A5322" s="401">
        <v>45141</v>
      </c>
      <c r="B5322" s="403">
        <v>3.9278942979251601E+20</v>
      </c>
    </row>
    <row r="5323" spans="1:2" ht="12.9" x14ac:dyDescent="0.35">
      <c r="A5323" s="401">
        <v>45142</v>
      </c>
      <c r="B5323" s="403">
        <v>3.1475179473440001E+20</v>
      </c>
    </row>
    <row r="5324" spans="1:2" ht="12.9" x14ac:dyDescent="0.35">
      <c r="A5324" s="401">
        <v>45143</v>
      </c>
      <c r="B5324" s="403">
        <v>4.0059319329832698E+20</v>
      </c>
    </row>
    <row r="5325" spans="1:2" ht="12.9" x14ac:dyDescent="0.35">
      <c r="A5325" s="401">
        <v>45144</v>
      </c>
      <c r="B5325" s="403">
        <v>4.2660573831769902E+20</v>
      </c>
    </row>
    <row r="5326" spans="1:2" ht="12.9" x14ac:dyDescent="0.35">
      <c r="A5326" s="401">
        <v>45145</v>
      </c>
      <c r="B5326" s="403">
        <v>3.7978315728283002E+20</v>
      </c>
    </row>
    <row r="5327" spans="1:2" ht="12.9" x14ac:dyDescent="0.35">
      <c r="A5327" s="401">
        <v>45146</v>
      </c>
      <c r="B5327" s="403">
        <v>3.2515681274214901E+20</v>
      </c>
    </row>
    <row r="5328" spans="1:2" ht="12.9" x14ac:dyDescent="0.35">
      <c r="A5328" s="401">
        <v>45147</v>
      </c>
      <c r="B5328" s="403">
        <v>4.2190950060732501E+20</v>
      </c>
    </row>
    <row r="5329" spans="1:2" ht="12.9" x14ac:dyDescent="0.35">
      <c r="A5329" s="401">
        <v>45148</v>
      </c>
      <c r="B5329" s="403">
        <v>3.3075621343907598E+20</v>
      </c>
    </row>
    <row r="5330" spans="1:2" ht="12.9" x14ac:dyDescent="0.35">
      <c r="A5330" s="401">
        <v>45149</v>
      </c>
      <c r="B5330" s="403">
        <v>3.9326132464016097E+20</v>
      </c>
    </row>
    <row r="5331" spans="1:2" ht="12.9" x14ac:dyDescent="0.35">
      <c r="A5331" s="401">
        <v>45150</v>
      </c>
      <c r="B5331" s="403">
        <v>4.3493139877421803E+20</v>
      </c>
    </row>
    <row r="5332" spans="1:2" ht="12.9" x14ac:dyDescent="0.35">
      <c r="A5332" s="401">
        <v>45151</v>
      </c>
      <c r="B5332" s="403">
        <v>3.5159125050610398E+20</v>
      </c>
    </row>
    <row r="5333" spans="1:2" ht="12.9" x14ac:dyDescent="0.35">
      <c r="A5333" s="401">
        <v>45152</v>
      </c>
      <c r="B5333" s="403">
        <v>4.45348917307732E+20</v>
      </c>
    </row>
    <row r="5334" spans="1:2" ht="12.9" x14ac:dyDescent="0.35">
      <c r="A5334" s="401">
        <v>45153</v>
      </c>
      <c r="B5334" s="403">
        <v>4.45348917307732E+20</v>
      </c>
    </row>
    <row r="5335" spans="1:2" ht="12.9" x14ac:dyDescent="0.35">
      <c r="A5335" s="401">
        <v>45154</v>
      </c>
      <c r="B5335" s="403">
        <v>4.24513880240704E+20</v>
      </c>
    </row>
    <row r="5336" spans="1:2" ht="12.9" x14ac:dyDescent="0.35">
      <c r="A5336" s="401">
        <v>45155</v>
      </c>
      <c r="B5336" s="403">
        <v>4.0628322280705399E+20</v>
      </c>
    </row>
    <row r="5337" spans="1:2" ht="12.9" x14ac:dyDescent="0.35">
      <c r="A5337" s="401">
        <v>45156</v>
      </c>
      <c r="B5337" s="403">
        <v>3.6200876903961802E+20</v>
      </c>
    </row>
    <row r="5338" spans="1:2" ht="12.9" x14ac:dyDescent="0.35">
      <c r="A5338" s="401">
        <v>45157</v>
      </c>
      <c r="B5338" s="403">
        <v>3.64613148672997E+20</v>
      </c>
    </row>
    <row r="5339" spans="1:2" ht="12.9" x14ac:dyDescent="0.35">
      <c r="A5339" s="401">
        <v>45158</v>
      </c>
      <c r="B5339" s="403">
        <v>4.2190950060732501E+20</v>
      </c>
    </row>
    <row r="5340" spans="1:2" ht="12.9" x14ac:dyDescent="0.35">
      <c r="A5340" s="401">
        <v>45159</v>
      </c>
      <c r="B5340" s="403">
        <v>4.2972263950746098E+20</v>
      </c>
    </row>
    <row r="5341" spans="1:2" ht="12.9" x14ac:dyDescent="0.35">
      <c r="A5341" s="401">
        <v>45160</v>
      </c>
      <c r="B5341" s="403">
        <v>3.7242628757313297E+20</v>
      </c>
    </row>
    <row r="5342" spans="1:2" ht="12.9" x14ac:dyDescent="0.35">
      <c r="A5342" s="401">
        <v>45161</v>
      </c>
      <c r="B5342" s="403">
        <v>3.9262389192117997E+20</v>
      </c>
    </row>
    <row r="5343" spans="1:2" ht="12.9" x14ac:dyDescent="0.35">
      <c r="A5343" s="401">
        <v>45162</v>
      </c>
      <c r="B5343" s="403">
        <v>3.8432902096509901E+20</v>
      </c>
    </row>
    <row r="5344" spans="1:2" ht="12.9" x14ac:dyDescent="0.35">
      <c r="A5344" s="401">
        <v>45163</v>
      </c>
      <c r="B5344" s="403">
        <v>3.7326919302365702E+20</v>
      </c>
    </row>
    <row r="5345" spans="1:2" ht="12.9" x14ac:dyDescent="0.35">
      <c r="A5345" s="401">
        <v>45164</v>
      </c>
      <c r="B5345" s="403">
        <v>3.7879910699437798E+20</v>
      </c>
    </row>
    <row r="5346" spans="1:2" ht="12.9" x14ac:dyDescent="0.35">
      <c r="A5346" s="401">
        <v>45165</v>
      </c>
      <c r="B5346" s="403">
        <v>3.20735010301809E+20</v>
      </c>
    </row>
    <row r="5347" spans="1:2" ht="12.9" x14ac:dyDescent="0.35">
      <c r="A5347" s="401">
        <v>45166</v>
      </c>
      <c r="B5347" s="403">
        <v>3.2626492427253003E+20</v>
      </c>
    </row>
    <row r="5348" spans="1:2" ht="12.9" x14ac:dyDescent="0.35">
      <c r="A5348" s="401">
        <v>45167</v>
      </c>
      <c r="B5348" s="403">
        <v>4.3686320368694703E+20</v>
      </c>
    </row>
    <row r="5349" spans="1:2" ht="12.9" x14ac:dyDescent="0.35">
      <c r="A5349" s="401">
        <v>45168</v>
      </c>
      <c r="B5349" s="403">
        <v>3.4838458015541297E+20</v>
      </c>
    </row>
    <row r="5350" spans="1:2" ht="12.9" x14ac:dyDescent="0.35">
      <c r="A5350" s="401">
        <v>45169</v>
      </c>
      <c r="B5350" s="403">
        <v>3.98153805891901E+20</v>
      </c>
    </row>
    <row r="5351" spans="1:2" ht="12.9" x14ac:dyDescent="0.35">
      <c r="A5351" s="401">
        <v>45170</v>
      </c>
      <c r="B5351" s="403">
        <v>4.1750850478942401E+20</v>
      </c>
    </row>
    <row r="5352" spans="1:2" ht="12.9" x14ac:dyDescent="0.35">
      <c r="A5352" s="401">
        <v>45171</v>
      </c>
      <c r="B5352" s="403">
        <v>4.20273461774784E+20</v>
      </c>
    </row>
    <row r="5353" spans="1:2" ht="12.9" x14ac:dyDescent="0.35">
      <c r="A5353" s="401">
        <v>45172</v>
      </c>
      <c r="B5353" s="403">
        <v>4.3686320368694703E+20</v>
      </c>
    </row>
    <row r="5354" spans="1:2" ht="12.9" x14ac:dyDescent="0.35">
      <c r="A5354" s="401">
        <v>45173</v>
      </c>
      <c r="B5354" s="403">
        <v>4.1197859081870298E+20</v>
      </c>
    </row>
    <row r="5355" spans="1:2" ht="12.9" x14ac:dyDescent="0.35">
      <c r="A5355" s="401">
        <v>45174</v>
      </c>
      <c r="B5355" s="403">
        <v>3.4285466618469201E+20</v>
      </c>
    </row>
    <row r="5356" spans="1:2" ht="12.9" x14ac:dyDescent="0.35">
      <c r="A5356" s="401">
        <v>45175</v>
      </c>
      <c r="B5356" s="403">
        <v>3.6339545398540698E+20</v>
      </c>
    </row>
    <row r="5357" spans="1:2" ht="12.9" x14ac:dyDescent="0.35">
      <c r="A5357" s="401">
        <v>45176</v>
      </c>
      <c r="B5357" s="403">
        <v>3.9300545393977301E+20</v>
      </c>
    </row>
    <row r="5358" spans="1:2" ht="12.9" x14ac:dyDescent="0.35">
      <c r="A5358" s="401">
        <v>45177</v>
      </c>
      <c r="B5358" s="403">
        <v>3.58011817630067E+20</v>
      </c>
    </row>
    <row r="5359" spans="1:2" ht="12.9" x14ac:dyDescent="0.35">
      <c r="A5359" s="401">
        <v>45178</v>
      </c>
      <c r="B5359" s="403">
        <v>4.0646454482812201E+20</v>
      </c>
    </row>
    <row r="5360" spans="1:2" ht="12.9" x14ac:dyDescent="0.35">
      <c r="A5360" s="401">
        <v>45179</v>
      </c>
      <c r="B5360" s="403">
        <v>3.9569727211744297E+20</v>
      </c>
    </row>
    <row r="5361" spans="1:2" ht="12.9" x14ac:dyDescent="0.35">
      <c r="A5361" s="401">
        <v>45180</v>
      </c>
      <c r="B5361" s="403">
        <v>4.2799909024947903E+20</v>
      </c>
    </row>
    <row r="5362" spans="1:2" ht="12.9" x14ac:dyDescent="0.35">
      <c r="A5362" s="401">
        <v>45181</v>
      </c>
      <c r="B5362" s="403">
        <v>3.7954636305142501E+20</v>
      </c>
    </row>
    <row r="5363" spans="1:2" ht="12.9" x14ac:dyDescent="0.35">
      <c r="A5363" s="401">
        <v>45182</v>
      </c>
      <c r="B5363" s="403">
        <v>3.9569727211744297E+20</v>
      </c>
    </row>
    <row r="5364" spans="1:2" ht="12.9" x14ac:dyDescent="0.35">
      <c r="A5364" s="401">
        <v>45183</v>
      </c>
      <c r="B5364" s="403">
        <v>4.3607454478248798E+20</v>
      </c>
    </row>
    <row r="5365" spans="1:2" ht="12.9" x14ac:dyDescent="0.35">
      <c r="A5365" s="401">
        <v>45184</v>
      </c>
      <c r="B5365" s="403">
        <v>5.0606181740190001E+20</v>
      </c>
    </row>
    <row r="5366" spans="1:2" ht="12.9" x14ac:dyDescent="0.35">
      <c r="A5366" s="401">
        <v>45185</v>
      </c>
      <c r="B5366" s="403">
        <v>4.1723181753879999E+20</v>
      </c>
    </row>
    <row r="5367" spans="1:2" ht="12.9" x14ac:dyDescent="0.35">
      <c r="A5367" s="401">
        <v>45186</v>
      </c>
      <c r="B5367" s="403">
        <v>4.0108090847278203E+20</v>
      </c>
    </row>
    <row r="5368" spans="1:2" ht="12.9" x14ac:dyDescent="0.35">
      <c r="A5368" s="401">
        <v>45187</v>
      </c>
      <c r="B5368" s="403">
        <v>4.1992363571647001E+20</v>
      </c>
    </row>
    <row r="5369" spans="1:2" ht="12.9" x14ac:dyDescent="0.35">
      <c r="A5369" s="401">
        <v>45188</v>
      </c>
      <c r="B5369" s="403">
        <v>3.9468274432308E+20</v>
      </c>
    </row>
    <row r="5370" spans="1:2" ht="12.9" x14ac:dyDescent="0.35">
      <c r="A5370" s="401">
        <v>45189</v>
      </c>
      <c r="B5370" s="403">
        <v>4.1455885374942203E+20</v>
      </c>
    </row>
    <row r="5371" spans="1:2" ht="12.9" x14ac:dyDescent="0.35">
      <c r="A5371" s="401">
        <v>45190</v>
      </c>
      <c r="B5371" s="403">
        <v>3.91843300119316E+20</v>
      </c>
    </row>
    <row r="5372" spans="1:2" ht="12.9" x14ac:dyDescent="0.35">
      <c r="A5372" s="401">
        <v>45191</v>
      </c>
      <c r="B5372" s="403">
        <v>3.6628830228544802E+20</v>
      </c>
    </row>
    <row r="5373" spans="1:2" ht="12.9" x14ac:dyDescent="0.35">
      <c r="A5373" s="401">
        <v>45192</v>
      </c>
      <c r="B5373" s="403">
        <v>4.4295329578705302E+20</v>
      </c>
    </row>
    <row r="5374" spans="1:2" ht="12.9" x14ac:dyDescent="0.35">
      <c r="A5374" s="401">
        <v>45193</v>
      </c>
      <c r="B5374" s="403">
        <v>4.1455885374942203E+20</v>
      </c>
    </row>
    <row r="5375" spans="1:2" ht="12.9" x14ac:dyDescent="0.35">
      <c r="A5375" s="401">
        <v>45194</v>
      </c>
      <c r="B5375" s="403">
        <v>4.1171940954565902E+20</v>
      </c>
    </row>
    <row r="5376" spans="1:2" ht="12.9" x14ac:dyDescent="0.35">
      <c r="A5376" s="401">
        <v>45195</v>
      </c>
      <c r="B5376" s="403">
        <v>3.8616441171178999E+20</v>
      </c>
    </row>
    <row r="5377" spans="1:2" ht="12.9" x14ac:dyDescent="0.35">
      <c r="A5377" s="401">
        <v>45196</v>
      </c>
      <c r="B5377" s="403">
        <v>4.4579273999081701E+20</v>
      </c>
    </row>
    <row r="5378" spans="1:2" ht="12.9" x14ac:dyDescent="0.35">
      <c r="A5378" s="401">
        <v>45197</v>
      </c>
      <c r="B5378" s="403">
        <v>4.1455885374942203E+20</v>
      </c>
    </row>
    <row r="5379" spans="1:2" ht="12.9" x14ac:dyDescent="0.35">
      <c r="A5379" s="401">
        <v>45198</v>
      </c>
      <c r="B5379" s="403">
        <v>4.1739829795318497E+20</v>
      </c>
    </row>
    <row r="5380" spans="1:2" ht="12.9" x14ac:dyDescent="0.35">
      <c r="A5380" s="401">
        <v>45199</v>
      </c>
      <c r="B5380" s="403">
        <v>3.91843300119316E+20</v>
      </c>
    </row>
    <row r="5381" spans="1:2" ht="12.9" x14ac:dyDescent="0.35">
      <c r="A5381" s="401">
        <v>45200</v>
      </c>
      <c r="B5381" s="403">
        <v>4.0036163273060601E+20</v>
      </c>
    </row>
    <row r="5382" spans="1:2" ht="12.9" x14ac:dyDescent="0.35">
      <c r="A5382" s="401">
        <v>45201</v>
      </c>
      <c r="B5382" s="403">
        <v>4.4579273999081701E+20</v>
      </c>
    </row>
    <row r="5383" spans="1:2" ht="12.9" x14ac:dyDescent="0.35">
      <c r="A5383" s="401">
        <v>45202</v>
      </c>
      <c r="B5383" s="403">
        <v>4.6731269126316497E+20</v>
      </c>
    </row>
    <row r="5384" spans="1:2" ht="12.9" x14ac:dyDescent="0.35">
      <c r="A5384" s="401">
        <v>45203</v>
      </c>
      <c r="B5384" s="403">
        <v>3.7328025948460201E+20</v>
      </c>
    </row>
    <row r="5385" spans="1:2" ht="12.9" x14ac:dyDescent="0.35">
      <c r="A5385" s="401">
        <v>45204</v>
      </c>
      <c r="B5385" s="403">
        <v>4.0177493578113601E+20</v>
      </c>
    </row>
    <row r="5386" spans="1:2" ht="12.9" x14ac:dyDescent="0.35">
      <c r="A5386" s="401">
        <v>45205</v>
      </c>
      <c r="B5386" s="403">
        <v>4.5591482074455199E+20</v>
      </c>
    </row>
    <row r="5387" spans="1:2" ht="12.9" x14ac:dyDescent="0.35">
      <c r="A5387" s="401">
        <v>45206</v>
      </c>
      <c r="B5387" s="403">
        <v>4.8725896467073997E+20</v>
      </c>
    </row>
    <row r="5388" spans="1:2" ht="12.9" x14ac:dyDescent="0.35">
      <c r="A5388" s="401">
        <v>45207</v>
      </c>
      <c r="B5388" s="403">
        <v>4.2172120918871002E+20</v>
      </c>
    </row>
    <row r="5389" spans="1:2" ht="12.9" x14ac:dyDescent="0.35">
      <c r="A5389" s="401">
        <v>45208</v>
      </c>
      <c r="B5389" s="403">
        <v>4.4451695022593802E+20</v>
      </c>
    </row>
    <row r="5390" spans="1:2" ht="12.9" x14ac:dyDescent="0.35">
      <c r="A5390" s="401">
        <v>45209</v>
      </c>
      <c r="B5390" s="403">
        <v>4.6161375600385897E+20</v>
      </c>
    </row>
    <row r="5391" spans="1:2" ht="12.9" x14ac:dyDescent="0.35">
      <c r="A5391" s="401">
        <v>45210</v>
      </c>
      <c r="B5391" s="403">
        <v>4.5591482074455199E+20</v>
      </c>
    </row>
    <row r="5392" spans="1:2" ht="12.9" x14ac:dyDescent="0.35">
      <c r="A5392" s="401">
        <v>45211</v>
      </c>
      <c r="B5392" s="403">
        <v>4.7016215889281902E+20</v>
      </c>
    </row>
    <row r="5393" spans="1:2" ht="12.9" x14ac:dyDescent="0.35">
      <c r="A5393" s="401">
        <v>45212</v>
      </c>
      <c r="B5393" s="403">
        <v>3.9322653289217602E+20</v>
      </c>
    </row>
    <row r="5394" spans="1:2" ht="12.9" x14ac:dyDescent="0.35">
      <c r="A5394" s="401">
        <v>45213</v>
      </c>
      <c r="B5394" s="403">
        <v>4.1602227392940297E+20</v>
      </c>
    </row>
    <row r="5395" spans="1:2" ht="12.9" x14ac:dyDescent="0.35">
      <c r="A5395" s="401">
        <v>45214</v>
      </c>
      <c r="B5395" s="403">
        <v>4.7586109415212601E+20</v>
      </c>
    </row>
    <row r="5396" spans="1:2" ht="12.9" x14ac:dyDescent="0.35">
      <c r="A5396" s="401">
        <v>45215</v>
      </c>
      <c r="B5396" s="403">
        <v>4.2777308364600102E+20</v>
      </c>
    </row>
    <row r="5397" spans="1:2" ht="12.9" x14ac:dyDescent="0.35">
      <c r="A5397" s="401">
        <v>45216</v>
      </c>
      <c r="B5397" s="403">
        <v>4.9148396844434103E+20</v>
      </c>
    </row>
    <row r="5398" spans="1:2" ht="12.9" x14ac:dyDescent="0.35">
      <c r="A5398" s="401">
        <v>45217</v>
      </c>
      <c r="B5398" s="403">
        <v>4.3990849027425599E+20</v>
      </c>
    </row>
    <row r="5399" spans="1:2" ht="12.9" x14ac:dyDescent="0.35">
      <c r="A5399" s="401">
        <v>45218</v>
      </c>
      <c r="B5399" s="403">
        <v>4.24739231988937E+20</v>
      </c>
    </row>
    <row r="5400" spans="1:2" ht="12.9" x14ac:dyDescent="0.35">
      <c r="A5400" s="401">
        <v>45219</v>
      </c>
      <c r="B5400" s="403">
        <v>4.0653612204655398E+20</v>
      </c>
    </row>
    <row r="5401" spans="1:2" ht="12.9" x14ac:dyDescent="0.35">
      <c r="A5401" s="401">
        <v>45220</v>
      </c>
      <c r="B5401" s="403">
        <v>4.5507774855957499E+20</v>
      </c>
    </row>
    <row r="5402" spans="1:2" ht="12.9" x14ac:dyDescent="0.35">
      <c r="A5402" s="401">
        <v>45221</v>
      </c>
      <c r="B5402" s="403">
        <v>4.6417930353076699E+20</v>
      </c>
    </row>
    <row r="5403" spans="1:2" ht="12.9" x14ac:dyDescent="0.35">
      <c r="A5403" s="401">
        <v>45222</v>
      </c>
      <c r="B5403" s="403">
        <v>4.7631471015902203E+20</v>
      </c>
    </row>
    <row r="5404" spans="1:2" ht="12.9" x14ac:dyDescent="0.35">
      <c r="A5404" s="401">
        <v>45223</v>
      </c>
      <c r="B5404" s="403">
        <v>3.8226530879004298E+20</v>
      </c>
    </row>
    <row r="5405" spans="1:2" ht="12.9" x14ac:dyDescent="0.35">
      <c r="A5405" s="401">
        <v>45224</v>
      </c>
      <c r="B5405" s="403">
        <v>4.3687463861719197E+20</v>
      </c>
    </row>
    <row r="5406" spans="1:2" ht="12.9" x14ac:dyDescent="0.35">
      <c r="A5406" s="401">
        <v>45225</v>
      </c>
      <c r="B5406" s="403">
        <v>4.5507774855957499E+20</v>
      </c>
    </row>
    <row r="5407" spans="1:2" ht="12.9" x14ac:dyDescent="0.35">
      <c r="A5407" s="401">
        <v>45226</v>
      </c>
      <c r="B5407" s="403">
        <v>4.6721315518783101E+20</v>
      </c>
    </row>
    <row r="5408" spans="1:2" ht="12.9" x14ac:dyDescent="0.35">
      <c r="A5408" s="401">
        <v>45227</v>
      </c>
      <c r="B5408" s="403">
        <v>4.8541626513021403E+20</v>
      </c>
    </row>
    <row r="5409" spans="1:2" ht="12.9" x14ac:dyDescent="0.35">
      <c r="A5409" s="401">
        <v>45228</v>
      </c>
      <c r="B5409" s="403">
        <v>4.15637677017745E+20</v>
      </c>
    </row>
    <row r="5410" spans="1:2" ht="12.9" x14ac:dyDescent="0.35">
      <c r="A5410" s="401">
        <v>45229</v>
      </c>
      <c r="B5410" s="403">
        <v>4.8439185889473803E+20</v>
      </c>
    </row>
    <row r="5411" spans="1:2" ht="12.9" x14ac:dyDescent="0.35">
      <c r="A5411" s="401">
        <v>45230</v>
      </c>
      <c r="B5411" s="403">
        <v>4.8128678287618199E+20</v>
      </c>
    </row>
    <row r="5412" spans="1:2" ht="12.9" x14ac:dyDescent="0.35">
      <c r="A5412" s="401">
        <v>45231</v>
      </c>
      <c r="B5412" s="403">
        <v>4.6265632676484599E+20</v>
      </c>
    </row>
    <row r="5413" spans="1:2" ht="12.9" x14ac:dyDescent="0.35">
      <c r="A5413" s="401">
        <v>45232</v>
      </c>
      <c r="B5413" s="403">
        <v>4.4713094667206597E+20</v>
      </c>
    </row>
    <row r="5414" spans="1:2" ht="12.9" x14ac:dyDescent="0.35">
      <c r="A5414" s="401">
        <v>45233</v>
      </c>
      <c r="B5414" s="403">
        <v>4.2229033852361802E+20</v>
      </c>
    </row>
    <row r="5415" spans="1:2" ht="12.9" x14ac:dyDescent="0.35">
      <c r="A5415" s="401">
        <v>45234</v>
      </c>
      <c r="B5415" s="403">
        <v>5.2165277111741003E+20</v>
      </c>
    </row>
    <row r="5416" spans="1:2" ht="12.9" x14ac:dyDescent="0.35">
      <c r="A5416" s="401">
        <v>45235</v>
      </c>
      <c r="B5416" s="403">
        <v>5.0612739102463001E+20</v>
      </c>
    </row>
    <row r="5417" spans="1:2" ht="12.9" x14ac:dyDescent="0.35">
      <c r="A5417" s="401">
        <v>45236</v>
      </c>
      <c r="B5417" s="403">
        <v>3.9434465435661297E+20</v>
      </c>
    </row>
    <row r="5418" spans="1:2" ht="12.9" x14ac:dyDescent="0.35">
      <c r="A5418" s="401">
        <v>45237</v>
      </c>
      <c r="B5418" s="403">
        <v>4.1297511046794897E+20</v>
      </c>
    </row>
    <row r="5419" spans="1:2" ht="12.9" x14ac:dyDescent="0.35">
      <c r="A5419" s="401">
        <v>45238</v>
      </c>
      <c r="B5419" s="403">
        <v>4.6265632676484599E+20</v>
      </c>
    </row>
    <row r="5420" spans="1:2" ht="12.9" x14ac:dyDescent="0.35">
      <c r="A5420" s="401">
        <v>45239</v>
      </c>
      <c r="B5420" s="403">
        <v>4.4402587065350999E+20</v>
      </c>
    </row>
    <row r="5421" spans="1:2" ht="12.9" x14ac:dyDescent="0.35">
      <c r="A5421" s="401">
        <v>45240</v>
      </c>
      <c r="B5421" s="403">
        <v>4.7818170685762601E+20</v>
      </c>
    </row>
    <row r="5422" spans="1:2" ht="12.9" x14ac:dyDescent="0.35">
      <c r="A5422" s="401">
        <v>45241</v>
      </c>
      <c r="B5422" s="403">
        <v>4.9681216296896201E+20</v>
      </c>
    </row>
    <row r="5423" spans="1:2" ht="12.9" x14ac:dyDescent="0.35">
      <c r="A5423" s="401">
        <v>45242</v>
      </c>
      <c r="B5423" s="403">
        <v>4.9991723898751798E+20</v>
      </c>
    </row>
    <row r="5424" spans="1:2" ht="12.9" x14ac:dyDescent="0.35">
      <c r="A5424" s="401">
        <v>45243</v>
      </c>
      <c r="B5424" s="403">
        <v>3.8903799471603397E+20</v>
      </c>
    </row>
    <row r="5425" spans="1:2" ht="12.9" x14ac:dyDescent="0.35">
      <c r="A5425" s="401">
        <v>45244</v>
      </c>
      <c r="B5425" s="403">
        <v>4.43696225378617E+20</v>
      </c>
    </row>
    <row r="5426" spans="1:2" ht="12.9" x14ac:dyDescent="0.35">
      <c r="A5426" s="401">
        <v>45245</v>
      </c>
      <c r="B5426" s="403">
        <v>4.7584812576837199E+20</v>
      </c>
    </row>
    <row r="5427" spans="1:2" ht="12.9" x14ac:dyDescent="0.35">
      <c r="A5427" s="401">
        <v>45246</v>
      </c>
      <c r="B5427" s="403">
        <v>4.7584812576837199E+20</v>
      </c>
    </row>
    <row r="5428" spans="1:2" ht="12.9" x14ac:dyDescent="0.35">
      <c r="A5428" s="401">
        <v>45247</v>
      </c>
      <c r="B5428" s="403">
        <v>4.8227850584632302E+20</v>
      </c>
    </row>
    <row r="5429" spans="1:2" ht="12.9" x14ac:dyDescent="0.35">
      <c r="A5429" s="401">
        <v>45248</v>
      </c>
      <c r="B5429" s="403">
        <v>4.79063315807348E+20</v>
      </c>
    </row>
    <row r="5430" spans="1:2" ht="12.9" x14ac:dyDescent="0.35">
      <c r="A5430" s="401">
        <v>45249</v>
      </c>
      <c r="B5430" s="403">
        <v>5.4658230662583301E+20</v>
      </c>
    </row>
    <row r="5431" spans="1:2" ht="12.9" x14ac:dyDescent="0.35">
      <c r="A5431" s="401">
        <v>45250</v>
      </c>
      <c r="B5431" s="403">
        <v>5.3372154646993102E+20</v>
      </c>
    </row>
    <row r="5432" spans="1:2" ht="12.9" x14ac:dyDescent="0.35">
      <c r="A5432" s="401">
        <v>45251</v>
      </c>
      <c r="B5432" s="403">
        <v>4.8870888592427398E+20</v>
      </c>
    </row>
    <row r="5433" spans="1:2" ht="12.9" x14ac:dyDescent="0.35">
      <c r="A5433" s="401">
        <v>45252</v>
      </c>
      <c r="B5433" s="403">
        <v>4.5655698553451898E+20</v>
      </c>
    </row>
    <row r="5434" spans="1:2" ht="12.9" x14ac:dyDescent="0.35">
      <c r="A5434" s="401">
        <v>45253</v>
      </c>
      <c r="B5434" s="403">
        <v>4.7263293572939697E+20</v>
      </c>
    </row>
    <row r="5435" spans="1:2" ht="12.9" x14ac:dyDescent="0.35">
      <c r="A5435" s="401">
        <v>45254</v>
      </c>
      <c r="B5435" s="403">
        <v>5.4015192654788198E+20</v>
      </c>
    </row>
    <row r="5436" spans="1:2" ht="12.9" x14ac:dyDescent="0.35">
      <c r="A5436" s="401">
        <v>45255</v>
      </c>
      <c r="B5436" s="403">
        <v>5.1121521619710299E+20</v>
      </c>
    </row>
    <row r="5437" spans="1:2" ht="12.9" x14ac:dyDescent="0.35">
      <c r="A5437" s="401">
        <v>45256</v>
      </c>
      <c r="B5437" s="403">
        <v>4.93217211562038E+20</v>
      </c>
    </row>
    <row r="5438" spans="1:2" ht="12.9" x14ac:dyDescent="0.35">
      <c r="A5438" s="401">
        <v>45257</v>
      </c>
      <c r="B5438" s="403">
        <v>4.3916601029496498E+20</v>
      </c>
    </row>
    <row r="5439" spans="1:2" ht="12.9" x14ac:dyDescent="0.35">
      <c r="A5439" s="401">
        <v>45258</v>
      </c>
      <c r="B5439" s="403">
        <v>4.9659541164122997E+20</v>
      </c>
    </row>
    <row r="5440" spans="1:2" ht="12.9" x14ac:dyDescent="0.35">
      <c r="A5440" s="401">
        <v>45259</v>
      </c>
      <c r="B5440" s="403">
        <v>4.5943521077011697E+20</v>
      </c>
    </row>
    <row r="5441" spans="1:2" ht="12.9" x14ac:dyDescent="0.35">
      <c r="A5441" s="401">
        <v>45260</v>
      </c>
      <c r="B5441" s="403">
        <v>4.5267881061173297E+20</v>
      </c>
    </row>
    <row r="5442" spans="1:2" ht="12.9" x14ac:dyDescent="0.35">
      <c r="A5442" s="401">
        <v>45261</v>
      </c>
      <c r="B5442" s="403">
        <v>5.7091581338345498E+20</v>
      </c>
    </row>
    <row r="5443" spans="1:2" ht="12.9" x14ac:dyDescent="0.35">
      <c r="A5443" s="401">
        <v>45262</v>
      </c>
      <c r="B5443" s="403">
        <v>4.2903141005738902E+20</v>
      </c>
    </row>
    <row r="5444" spans="1:2" ht="12.9" x14ac:dyDescent="0.35">
      <c r="A5444" s="401">
        <v>45263</v>
      </c>
      <c r="B5444" s="403">
        <v>5.5740301306668699E+20</v>
      </c>
    </row>
    <row r="5445" spans="1:2" ht="12.9" x14ac:dyDescent="0.35">
      <c r="A5445" s="401">
        <v>45264</v>
      </c>
      <c r="B5445" s="403">
        <v>5.2362101227476602E+20</v>
      </c>
    </row>
    <row r="5446" spans="1:2" ht="12.9" x14ac:dyDescent="0.35">
      <c r="A5446" s="401">
        <v>45265</v>
      </c>
      <c r="B5446" s="403">
        <v>4.6619161092850103E+20</v>
      </c>
    </row>
    <row r="5447" spans="1:2" ht="12.9" x14ac:dyDescent="0.35">
      <c r="A5447" s="401">
        <v>45266</v>
      </c>
      <c r="B5447" s="403">
        <v>4.5943521077011697E+20</v>
      </c>
    </row>
    <row r="5448" spans="1:2" ht="12.9" x14ac:dyDescent="0.35">
      <c r="A5448" s="401">
        <v>45267</v>
      </c>
      <c r="B5448" s="403">
        <v>3.8849300910708398E+20</v>
      </c>
    </row>
    <row r="5449" spans="1:2" ht="12.9" x14ac:dyDescent="0.35">
      <c r="A5449" s="401">
        <v>45268</v>
      </c>
      <c r="B5449" s="403">
        <v>4.56057010690925E+20</v>
      </c>
    </row>
    <row r="5450" spans="1:2" ht="12.9" x14ac:dyDescent="0.35">
      <c r="A5450" s="401">
        <v>45269</v>
      </c>
      <c r="B5450" s="403">
        <v>5.3037741243315002E+20</v>
      </c>
    </row>
    <row r="5451" spans="1:2" ht="12.9" x14ac:dyDescent="0.35">
      <c r="A5451" s="401">
        <v>45270</v>
      </c>
      <c r="B5451" s="403">
        <v>4.6841126916734203E+20</v>
      </c>
    </row>
    <row r="5452" spans="1:2" ht="12.9" x14ac:dyDescent="0.35">
      <c r="A5452" s="401">
        <v>45271</v>
      </c>
      <c r="B5452" s="403">
        <v>5.2863557520314302E+20</v>
      </c>
    </row>
    <row r="5453" spans="1:2" ht="12.9" x14ac:dyDescent="0.35">
      <c r="A5453" s="401">
        <v>45272</v>
      </c>
      <c r="B5453" s="403">
        <v>4.8179444828640903E+20</v>
      </c>
    </row>
    <row r="5454" spans="1:2" ht="12.9" x14ac:dyDescent="0.35">
      <c r="A5454" s="401">
        <v>45273</v>
      </c>
      <c r="B5454" s="403">
        <v>4.9852342218524197E+20</v>
      </c>
    </row>
    <row r="5455" spans="1:2" ht="12.9" x14ac:dyDescent="0.35">
      <c r="A5455" s="401">
        <v>45274</v>
      </c>
      <c r="B5455" s="403">
        <v>4.8848603784594201E+20</v>
      </c>
    </row>
    <row r="5456" spans="1:2" ht="12.9" x14ac:dyDescent="0.35">
      <c r="A5456" s="401">
        <v>45275</v>
      </c>
      <c r="B5456" s="403">
        <v>5.4536454910197701E+20</v>
      </c>
    </row>
    <row r="5457" spans="1:2" ht="12.9" x14ac:dyDescent="0.35">
      <c r="A5457" s="401">
        <v>45276</v>
      </c>
      <c r="B5457" s="403">
        <v>5.0856080652454298E+20</v>
      </c>
    </row>
    <row r="5458" spans="1:2" ht="12.9" x14ac:dyDescent="0.35">
      <c r="A5458" s="401">
        <v>45277</v>
      </c>
      <c r="B5458" s="403">
        <v>5.0186921696500901E+20</v>
      </c>
    </row>
    <row r="5459" spans="1:2" ht="12.9" x14ac:dyDescent="0.35">
      <c r="A5459" s="401">
        <v>45278</v>
      </c>
      <c r="B5459" s="403">
        <v>5.6209352300081001E+20</v>
      </c>
    </row>
    <row r="5460" spans="1:2" ht="12.9" x14ac:dyDescent="0.35">
      <c r="A5460" s="401">
        <v>45279</v>
      </c>
      <c r="B5460" s="403">
        <v>5.4201875432221003E+20</v>
      </c>
    </row>
    <row r="5461" spans="1:2" ht="12.9" x14ac:dyDescent="0.35">
      <c r="A5461" s="401">
        <v>45280</v>
      </c>
      <c r="B5461" s="403">
        <v>4.8514024306617503E+20</v>
      </c>
    </row>
    <row r="5462" spans="1:2" ht="12.9" x14ac:dyDescent="0.35">
      <c r="A5462" s="401">
        <v>45281</v>
      </c>
      <c r="B5462" s="403">
        <v>4.8848603784594201E+20</v>
      </c>
    </row>
    <row r="5463" spans="1:2" ht="12.9" x14ac:dyDescent="0.35">
      <c r="A5463" s="401">
        <v>45282</v>
      </c>
      <c r="B5463" s="403">
        <v>5.6209352300081001E+20</v>
      </c>
    </row>
    <row r="5464" spans="1:2" ht="12.9" x14ac:dyDescent="0.35">
      <c r="A5464" s="401">
        <v>45283</v>
      </c>
      <c r="B5464" s="403">
        <v>5.72711193030428E+20</v>
      </c>
    </row>
    <row r="5465" spans="1:2" ht="12.9" x14ac:dyDescent="0.35">
      <c r="A5465" s="401">
        <v>45284</v>
      </c>
      <c r="B5465" s="403">
        <v>6.1208508755127003E+20</v>
      </c>
    </row>
    <row r="5466" spans="1:2" ht="12.9" x14ac:dyDescent="0.35">
      <c r="A5466" s="401">
        <v>45285</v>
      </c>
      <c r="B5466" s="403">
        <v>4.9754284894518398E+20</v>
      </c>
    </row>
    <row r="5467" spans="1:2" ht="12.9" x14ac:dyDescent="0.35">
      <c r="A5467" s="401">
        <v>45286</v>
      </c>
      <c r="B5467" s="403">
        <v>4.9754284894518398E+20</v>
      </c>
    </row>
    <row r="5468" spans="1:2" ht="12.9" x14ac:dyDescent="0.35">
      <c r="A5468" s="401">
        <v>45287</v>
      </c>
      <c r="B5468" s="403">
        <v>4.6174839938078199E+20</v>
      </c>
    </row>
    <row r="5469" spans="1:2" ht="12.9" x14ac:dyDescent="0.35">
      <c r="A5469" s="401">
        <v>45288</v>
      </c>
      <c r="B5469" s="403">
        <v>4.3311283972926099E+20</v>
      </c>
    </row>
    <row r="5470" spans="1:2" ht="12.9" x14ac:dyDescent="0.35">
      <c r="A5470" s="401">
        <v>45289</v>
      </c>
      <c r="B5470" s="403">
        <v>5.4049618842246598E+20</v>
      </c>
    </row>
    <row r="5471" spans="1:2" ht="12.9" x14ac:dyDescent="0.35">
      <c r="A5471" s="401">
        <v>45290</v>
      </c>
      <c r="B5471" s="403">
        <v>5.1901951868382498E+20</v>
      </c>
    </row>
    <row r="5472" spans="1:2" ht="12.9" x14ac:dyDescent="0.35">
      <c r="A5472" s="401">
        <v>45291</v>
      </c>
      <c r="B5472" s="403">
        <v>5.5839341320466701E+20</v>
      </c>
    </row>
    <row r="5473" spans="1:2" ht="12.9" x14ac:dyDescent="0.35">
      <c r="A5473" s="401">
        <v>45292</v>
      </c>
      <c r="B5473" s="403">
        <v>5.5481396824822697E+20</v>
      </c>
    </row>
    <row r="5474" spans="1:2" ht="12.9" x14ac:dyDescent="0.35">
      <c r="A5474" s="401">
        <v>45293</v>
      </c>
      <c r="B5474" s="403">
        <v>4.6890728929366298E+20</v>
      </c>
    </row>
    <row r="5475" spans="1:2" ht="12.9" x14ac:dyDescent="0.35">
      <c r="A5475" s="401">
        <v>45294</v>
      </c>
      <c r="B5475" s="403">
        <v>5.6555230311754701E+20</v>
      </c>
    </row>
    <row r="5476" spans="1:2" ht="12.9" x14ac:dyDescent="0.35">
      <c r="A5476" s="401">
        <v>45295</v>
      </c>
      <c r="B5476" s="403">
        <v>6.0850564259482999E+20</v>
      </c>
    </row>
    <row r="5477" spans="1:2" ht="12.9" x14ac:dyDescent="0.35">
      <c r="A5477" s="401">
        <v>45296</v>
      </c>
      <c r="B5477" s="403">
        <v>4.9396340398874401E+20</v>
      </c>
    </row>
    <row r="5478" spans="1:2" ht="12.9" x14ac:dyDescent="0.35">
      <c r="A5478" s="401">
        <v>45297</v>
      </c>
      <c r="B5478" s="403">
        <v>5.0941437857149603E+20</v>
      </c>
    </row>
    <row r="5479" spans="1:2" ht="12.9" x14ac:dyDescent="0.35">
      <c r="A5479" s="401">
        <v>45298</v>
      </c>
      <c r="B5479" s="403">
        <v>4.2936354765311797E+20</v>
      </c>
    </row>
    <row r="5480" spans="1:2" ht="12.9" x14ac:dyDescent="0.35">
      <c r="A5480" s="401">
        <v>45299</v>
      </c>
      <c r="B5480" s="403">
        <v>4.4755691831638603E+20</v>
      </c>
    </row>
    <row r="5481" spans="1:2" ht="12.9" x14ac:dyDescent="0.35">
      <c r="A5481" s="401">
        <v>45300</v>
      </c>
      <c r="B5481" s="403">
        <v>5.5307846816333903E+20</v>
      </c>
    </row>
    <row r="5482" spans="1:2" ht="12.9" x14ac:dyDescent="0.35">
      <c r="A5482" s="401">
        <v>45301</v>
      </c>
      <c r="B5482" s="403">
        <v>4.8394365964292103E+20</v>
      </c>
    </row>
    <row r="5483" spans="1:2" ht="12.9" x14ac:dyDescent="0.35">
      <c r="A5483" s="401">
        <v>45302</v>
      </c>
      <c r="B5483" s="403">
        <v>6.2949062494906299E+20</v>
      </c>
    </row>
    <row r="5484" spans="1:2" ht="12.9" x14ac:dyDescent="0.35">
      <c r="A5484" s="401">
        <v>45303</v>
      </c>
      <c r="B5484" s="403">
        <v>6.1129725428579605E+20</v>
      </c>
    </row>
    <row r="5485" spans="1:2" ht="12.9" x14ac:dyDescent="0.35">
      <c r="A5485" s="401">
        <v>45304</v>
      </c>
      <c r="B5485" s="403">
        <v>5.7854918709191403E+20</v>
      </c>
    </row>
    <row r="5486" spans="1:2" ht="12.9" x14ac:dyDescent="0.35">
      <c r="A5486" s="401">
        <v>45305</v>
      </c>
      <c r="B5486" s="403">
        <v>4.6575028897965402E+20</v>
      </c>
    </row>
    <row r="5487" spans="1:2" ht="12.9" x14ac:dyDescent="0.35">
      <c r="A5487" s="401">
        <v>45306</v>
      </c>
      <c r="B5487" s="403">
        <v>4.1480885112250401E+20</v>
      </c>
    </row>
    <row r="5488" spans="1:2" ht="12.9" x14ac:dyDescent="0.35">
      <c r="A5488" s="401">
        <v>45307</v>
      </c>
      <c r="B5488" s="403">
        <v>4.5483426658169297E+20</v>
      </c>
    </row>
    <row r="5489" spans="1:2" ht="12.9" x14ac:dyDescent="0.35">
      <c r="A5489" s="401">
        <v>45308</v>
      </c>
      <c r="B5489" s="403">
        <v>4.4027957005107901E+20</v>
      </c>
    </row>
    <row r="5490" spans="1:2" ht="12.9" x14ac:dyDescent="0.35">
      <c r="A5490" s="401">
        <v>45309</v>
      </c>
      <c r="B5490" s="403">
        <v>5.1669172683680298E+20</v>
      </c>
    </row>
    <row r="5491" spans="1:2" ht="12.9" x14ac:dyDescent="0.35">
      <c r="A5491" s="401">
        <v>45310</v>
      </c>
      <c r="B5491" s="403">
        <v>4.8030498551026798E+20</v>
      </c>
    </row>
    <row r="5492" spans="1:2" ht="12.9" x14ac:dyDescent="0.35">
      <c r="A5492" s="401">
        <v>45311</v>
      </c>
      <c r="B5492" s="403">
        <v>5.2033040096945701E+20</v>
      </c>
    </row>
    <row r="5493" spans="1:2" ht="12.9" x14ac:dyDescent="0.35">
      <c r="A5493" s="401">
        <v>45312</v>
      </c>
      <c r="B5493" s="403">
        <v>4.8955134776354E+20</v>
      </c>
    </row>
    <row r="5494" spans="1:2" ht="12.9" x14ac:dyDescent="0.35">
      <c r="A5494" s="401">
        <v>45313</v>
      </c>
      <c r="B5494" s="403">
        <v>5.5948725458690297E+20</v>
      </c>
    </row>
    <row r="5495" spans="1:2" ht="12.9" x14ac:dyDescent="0.35">
      <c r="A5495" s="401">
        <v>45314</v>
      </c>
      <c r="B5495" s="403">
        <v>5.3850648253989401E+20</v>
      </c>
    </row>
    <row r="5496" spans="1:2" ht="12.9" x14ac:dyDescent="0.35">
      <c r="A5496" s="401">
        <v>45315</v>
      </c>
      <c r="B5496" s="403">
        <v>5.2451930117522201E+20</v>
      </c>
    </row>
    <row r="5497" spans="1:2" ht="12.9" x14ac:dyDescent="0.35">
      <c r="A5497" s="401">
        <v>45316</v>
      </c>
      <c r="B5497" s="403">
        <v>6.3291995675143399E+20</v>
      </c>
    </row>
    <row r="5498" spans="1:2" ht="12.9" x14ac:dyDescent="0.35">
      <c r="A5498" s="401">
        <v>45317</v>
      </c>
      <c r="B5498" s="403">
        <v>5.3151289185755798E+20</v>
      </c>
    </row>
    <row r="5499" spans="1:2" ht="12.9" x14ac:dyDescent="0.35">
      <c r="A5499" s="401">
        <v>45318</v>
      </c>
      <c r="B5499" s="403">
        <v>5.9795200333975296E+20</v>
      </c>
    </row>
    <row r="5500" spans="1:2" ht="12.9" x14ac:dyDescent="0.35">
      <c r="A5500" s="401">
        <v>45319</v>
      </c>
      <c r="B5500" s="403">
        <v>5.5948725458690297E+20</v>
      </c>
    </row>
    <row r="5501" spans="1:2" ht="12.9" x14ac:dyDescent="0.35">
      <c r="A5501" s="401">
        <v>45320</v>
      </c>
      <c r="B5501" s="403">
        <v>5.4550007322223103E+20</v>
      </c>
    </row>
    <row r="5502" spans="1:2" ht="12.9" x14ac:dyDescent="0.35">
      <c r="A5502" s="401">
        <v>45321</v>
      </c>
      <c r="B5502" s="403">
        <v>5.0353852912821299E+20</v>
      </c>
    </row>
    <row r="5503" spans="1:2" ht="12.9" x14ac:dyDescent="0.35">
      <c r="A5503" s="401">
        <v>45322</v>
      </c>
      <c r="B5503" s="403">
        <v>4.5808018969302702E+20</v>
      </c>
    </row>
    <row r="5504" spans="1:2" ht="12.9" x14ac:dyDescent="0.35">
      <c r="A5504" s="401">
        <v>45323</v>
      </c>
      <c r="B5504" s="403">
        <v>5.3500968719872603E+20</v>
      </c>
    </row>
    <row r="5505" spans="1:2" ht="12.9" x14ac:dyDescent="0.35">
      <c r="A5505" s="401">
        <v>45324</v>
      </c>
      <c r="B5505" s="403">
        <v>6.57397524139611E+20</v>
      </c>
    </row>
    <row r="5506" spans="1:2" ht="12.9" x14ac:dyDescent="0.35">
      <c r="A5506" s="401">
        <v>45325</v>
      </c>
      <c r="B5506" s="403">
        <v>5.6673818462849099E+20</v>
      </c>
    </row>
    <row r="5507" spans="1:2" ht="12.9" x14ac:dyDescent="0.35">
      <c r="A5507" s="401">
        <v>45326</v>
      </c>
      <c r="B5507" s="403">
        <v>5.8175111667162998E+20</v>
      </c>
    </row>
    <row r="5508" spans="1:2" ht="12.9" x14ac:dyDescent="0.35">
      <c r="A5508" s="401">
        <v>45327</v>
      </c>
      <c r="B5508" s="403">
        <v>5.8550434968241399E+20</v>
      </c>
    </row>
    <row r="5509" spans="1:2" ht="12.9" x14ac:dyDescent="0.35">
      <c r="A5509" s="401">
        <v>45328</v>
      </c>
      <c r="B5509" s="403">
        <v>6.3804961183339997E+20</v>
      </c>
    </row>
    <row r="5510" spans="1:2" ht="12.9" x14ac:dyDescent="0.35">
      <c r="A5510" s="401">
        <v>45329</v>
      </c>
      <c r="B5510" s="403">
        <v>6.0051728172555305E+20</v>
      </c>
    </row>
    <row r="5511" spans="1:2" ht="12.9" x14ac:dyDescent="0.35">
      <c r="A5511" s="401">
        <v>45330</v>
      </c>
      <c r="B5511" s="403">
        <v>5.1794615548829001E+20</v>
      </c>
    </row>
    <row r="5512" spans="1:2" ht="12.9" x14ac:dyDescent="0.35">
      <c r="A5512" s="401">
        <v>45331</v>
      </c>
      <c r="B5512" s="403">
        <v>6.2303667979026196E+20</v>
      </c>
    </row>
    <row r="5513" spans="1:2" ht="12.9" x14ac:dyDescent="0.35">
      <c r="A5513" s="401">
        <v>45332</v>
      </c>
      <c r="B5513" s="403">
        <v>5.70491417639275E+20</v>
      </c>
    </row>
    <row r="5514" spans="1:2" ht="12.9" x14ac:dyDescent="0.35">
      <c r="A5514" s="401">
        <v>45333</v>
      </c>
      <c r="B5514" s="403">
        <v>5.1419292247750502E+20</v>
      </c>
    </row>
    <row r="5515" spans="1:2" ht="12.9" x14ac:dyDescent="0.35">
      <c r="A5515" s="401">
        <v>45334</v>
      </c>
      <c r="B5515" s="403">
        <v>6.7182870893046294E+20</v>
      </c>
    </row>
    <row r="5516" spans="1:2" ht="12.9" x14ac:dyDescent="0.35">
      <c r="A5516" s="401">
        <v>45335</v>
      </c>
      <c r="B5516" s="403">
        <v>5.0668645645593497E+20</v>
      </c>
    </row>
    <row r="5517" spans="1:2" ht="12.9" x14ac:dyDescent="0.35">
      <c r="A5517" s="401">
        <v>45336</v>
      </c>
      <c r="B5517" s="403">
        <v>5.2169938849907402E+20</v>
      </c>
    </row>
    <row r="5518" spans="1:2" ht="12.9" x14ac:dyDescent="0.35">
      <c r="A5518" s="401">
        <v>45337</v>
      </c>
      <c r="B5518" s="403">
        <v>5.8925758269319899E+20</v>
      </c>
    </row>
    <row r="5519" spans="1:2" ht="12.9" x14ac:dyDescent="0.35">
      <c r="A5519" s="401">
        <v>45338</v>
      </c>
      <c r="B5519" s="403">
        <v>5.4438661642195599E+20</v>
      </c>
    </row>
    <row r="5520" spans="1:2" ht="12.9" x14ac:dyDescent="0.35">
      <c r="A5520" s="401">
        <v>45339</v>
      </c>
      <c r="B5520" s="403">
        <v>6.0938800345741302E+20</v>
      </c>
    </row>
    <row r="5521" spans="1:2" ht="12.9" x14ac:dyDescent="0.35">
      <c r="A5521" s="401">
        <v>45340</v>
      </c>
      <c r="B5521" s="403">
        <v>4.9157298945564698E+20</v>
      </c>
    </row>
    <row r="5522" spans="1:2" ht="12.9" x14ac:dyDescent="0.35">
      <c r="A5522" s="401">
        <v>45341</v>
      </c>
      <c r="B5522" s="403">
        <v>5.5251178980138798E+20</v>
      </c>
    </row>
    <row r="5523" spans="1:2" ht="12.9" x14ac:dyDescent="0.35">
      <c r="A5523" s="401">
        <v>45342</v>
      </c>
      <c r="B5523" s="403">
        <v>5.7282472324996799E+20</v>
      </c>
    </row>
    <row r="5524" spans="1:2" ht="12.9" x14ac:dyDescent="0.35">
      <c r="A5524" s="401">
        <v>45343</v>
      </c>
      <c r="B5524" s="403">
        <v>5.6063696318081997E+20</v>
      </c>
    </row>
    <row r="5525" spans="1:2" ht="12.9" x14ac:dyDescent="0.35">
      <c r="A5525" s="401">
        <v>45344</v>
      </c>
      <c r="B5525" s="403">
        <v>5.4844920311167202E+20</v>
      </c>
    </row>
    <row r="5526" spans="1:2" ht="12.9" x14ac:dyDescent="0.35">
      <c r="A5526" s="401">
        <v>45345</v>
      </c>
      <c r="B5526" s="403">
        <v>6.4595128366485799E+20</v>
      </c>
    </row>
    <row r="5527" spans="1:2" ht="12.9" x14ac:dyDescent="0.35">
      <c r="A5527" s="401">
        <v>45346</v>
      </c>
      <c r="B5527" s="403">
        <v>5.5657437649110401E+20</v>
      </c>
    </row>
    <row r="5528" spans="1:2" ht="12.9" x14ac:dyDescent="0.35">
      <c r="A5528" s="401">
        <v>45347</v>
      </c>
      <c r="B5528" s="403">
        <v>6.6626421711343806E+20</v>
      </c>
    </row>
    <row r="5529" spans="1:2" ht="12.9" x14ac:dyDescent="0.35">
      <c r="A5529" s="401">
        <v>45348</v>
      </c>
      <c r="B5529" s="403">
        <v>5.4032402973224003E+20</v>
      </c>
    </row>
    <row r="5530" spans="1:2" ht="12.9" x14ac:dyDescent="0.35">
      <c r="A5530" s="401">
        <v>45349</v>
      </c>
      <c r="B5530" s="403">
        <v>5.24073682973375E+20</v>
      </c>
    </row>
    <row r="5531" spans="1:2" ht="12.9" x14ac:dyDescent="0.35">
      <c r="A5531" s="401">
        <v>45350</v>
      </c>
      <c r="B5531" s="403">
        <v>6.0532541676769706E+20</v>
      </c>
    </row>
    <row r="5532" spans="1:2" ht="12.9" x14ac:dyDescent="0.35">
      <c r="A5532" s="401">
        <v>45351</v>
      </c>
      <c r="B5532" s="403">
        <v>5.4032402973224003E+20</v>
      </c>
    </row>
    <row r="5533" spans="1:2" ht="12.9" x14ac:dyDescent="0.35">
      <c r="A5533" s="401">
        <v>45352</v>
      </c>
      <c r="B5533" s="403">
        <v>6.0746392565952296E+20</v>
      </c>
    </row>
    <row r="5534" spans="1:2" ht="12.9" x14ac:dyDescent="0.35">
      <c r="A5534" s="401">
        <v>45353</v>
      </c>
      <c r="B5534" s="403">
        <v>5.00960510121814E+20</v>
      </c>
    </row>
    <row r="5535" spans="1:2" ht="12.9" x14ac:dyDescent="0.35">
      <c r="A5535" s="401">
        <v>45354</v>
      </c>
      <c r="B5535" s="403">
        <v>6.1140849660536396E+20</v>
      </c>
    </row>
    <row r="5536" spans="1:2" ht="12.9" x14ac:dyDescent="0.35">
      <c r="A5536" s="401">
        <v>45355</v>
      </c>
      <c r="B5536" s="403">
        <v>5.0884965201349601E+20</v>
      </c>
    </row>
    <row r="5537" spans="1:2" ht="12.9" x14ac:dyDescent="0.35">
      <c r="A5537" s="401">
        <v>45356</v>
      </c>
      <c r="B5537" s="403">
        <v>6.5874334795545602E+20</v>
      </c>
    </row>
    <row r="5538" spans="1:2" ht="12.9" x14ac:dyDescent="0.35">
      <c r="A5538" s="401">
        <v>45357</v>
      </c>
      <c r="B5538" s="403">
        <v>5.5223993241774798E+20</v>
      </c>
    </row>
    <row r="5539" spans="1:2" ht="12.9" x14ac:dyDescent="0.35">
      <c r="A5539" s="401">
        <v>45358</v>
      </c>
      <c r="B5539" s="403">
        <v>7.1002277025138999E+20</v>
      </c>
    </row>
    <row r="5540" spans="1:2" ht="12.9" x14ac:dyDescent="0.35">
      <c r="A5540" s="401">
        <v>45359</v>
      </c>
      <c r="B5540" s="403">
        <v>6.0746392565952296E+20</v>
      </c>
    </row>
    <row r="5541" spans="1:2" ht="12.9" x14ac:dyDescent="0.35">
      <c r="A5541" s="401">
        <v>45360</v>
      </c>
      <c r="B5541" s="403">
        <v>6.42965064172092E+20</v>
      </c>
    </row>
    <row r="5542" spans="1:2" ht="12.9" x14ac:dyDescent="0.35">
      <c r="A5542" s="401">
        <v>45361</v>
      </c>
      <c r="B5542" s="403">
        <v>5.6407364525527099E+20</v>
      </c>
    </row>
    <row r="5543" spans="1:2" ht="12.9" x14ac:dyDescent="0.35">
      <c r="A5543" s="401">
        <v>45362</v>
      </c>
      <c r="B5543" s="403">
        <v>6.7057706079297995E+20</v>
      </c>
    </row>
    <row r="5544" spans="1:2" ht="12.9" x14ac:dyDescent="0.35">
      <c r="A5544" s="401">
        <v>45363</v>
      </c>
      <c r="B5544" s="403">
        <v>5.5618450336358898E+20</v>
      </c>
    </row>
    <row r="5545" spans="1:2" ht="12.9" x14ac:dyDescent="0.35">
      <c r="A5545" s="401">
        <v>45364</v>
      </c>
      <c r="B5545" s="403">
        <v>6.3113135133456898E+20</v>
      </c>
    </row>
    <row r="5546" spans="1:2" ht="12.9" x14ac:dyDescent="0.35">
      <c r="A5546" s="401">
        <v>45365</v>
      </c>
      <c r="B5546" s="403">
        <v>5.8840334927172102E+20</v>
      </c>
    </row>
    <row r="5547" spans="1:2" ht="12.9" x14ac:dyDescent="0.35">
      <c r="A5547" s="401">
        <v>45366</v>
      </c>
      <c r="B5547" s="403">
        <v>5.2998032168445798E+20</v>
      </c>
    </row>
    <row r="5548" spans="1:2" ht="12.9" x14ac:dyDescent="0.35">
      <c r="A5548" s="401">
        <v>45367</v>
      </c>
      <c r="B5548" s="403">
        <v>6.0092256946899098E+20</v>
      </c>
    </row>
    <row r="5549" spans="1:2" ht="12.9" x14ac:dyDescent="0.35">
      <c r="A5549" s="401">
        <v>45368</v>
      </c>
      <c r="B5549" s="403">
        <v>6.09268716267172E+20</v>
      </c>
    </row>
    <row r="5550" spans="1:2" ht="12.9" x14ac:dyDescent="0.35">
      <c r="A5550" s="401">
        <v>45369</v>
      </c>
      <c r="B5550" s="403">
        <v>6.0092256946899098E+20</v>
      </c>
    </row>
    <row r="5551" spans="1:2" ht="12.9" x14ac:dyDescent="0.35">
      <c r="A5551" s="401">
        <v>45370</v>
      </c>
      <c r="B5551" s="403">
        <v>6.5517252365716396E+20</v>
      </c>
    </row>
    <row r="5552" spans="1:2" ht="12.9" x14ac:dyDescent="0.35">
      <c r="A5552" s="401">
        <v>45371</v>
      </c>
      <c r="B5552" s="403">
        <v>6.2178793646444302E+20</v>
      </c>
    </row>
    <row r="5553" spans="1:2" ht="12.9" x14ac:dyDescent="0.35">
      <c r="A5553" s="401">
        <v>45372</v>
      </c>
      <c r="B5553" s="403">
        <v>5.0076880789082597E+20</v>
      </c>
    </row>
    <row r="5554" spans="1:2" ht="12.9" x14ac:dyDescent="0.35">
      <c r="A5554" s="401">
        <v>45373</v>
      </c>
      <c r="B5554" s="403">
        <v>5.6336490887717899E+20</v>
      </c>
    </row>
    <row r="5555" spans="1:2" ht="12.9" x14ac:dyDescent="0.35">
      <c r="A5555" s="401">
        <v>45374</v>
      </c>
      <c r="B5555" s="403">
        <v>6.5099945025807398E+20</v>
      </c>
    </row>
    <row r="5556" spans="1:2" ht="12.9" x14ac:dyDescent="0.35">
      <c r="A5556" s="401">
        <v>45375</v>
      </c>
      <c r="B5556" s="403">
        <v>7.0942247784533695E+20</v>
      </c>
    </row>
    <row r="5557" spans="1:2" ht="12.9" x14ac:dyDescent="0.35">
      <c r="A5557" s="401">
        <v>45376</v>
      </c>
      <c r="B5557" s="403">
        <v>5.5084568867990903E+20</v>
      </c>
    </row>
    <row r="5558" spans="1:2" ht="12.9" x14ac:dyDescent="0.35">
      <c r="A5558" s="401">
        <v>45377</v>
      </c>
      <c r="B5558" s="403">
        <v>5.5919183547808901E+20</v>
      </c>
    </row>
    <row r="5559" spans="1:2" ht="12.9" x14ac:dyDescent="0.35">
      <c r="A5559" s="401">
        <v>45378</v>
      </c>
      <c r="B5559" s="403">
        <v>5.6753798227627003E+20</v>
      </c>
    </row>
    <row r="5560" spans="1:2" ht="12.9" x14ac:dyDescent="0.35">
      <c r="A5560" s="401">
        <v>45379</v>
      </c>
      <c r="B5560" s="403">
        <v>6.2810434859366705E+20</v>
      </c>
    </row>
    <row r="5561" spans="1:2" ht="12.9" x14ac:dyDescent="0.35">
      <c r="A5561" s="401">
        <v>45380</v>
      </c>
      <c r="B5561" s="403">
        <v>5.9504622498347404E+20</v>
      </c>
    </row>
    <row r="5562" spans="1:2" ht="12.9" x14ac:dyDescent="0.35">
      <c r="A5562" s="401">
        <v>45381</v>
      </c>
      <c r="B5562" s="403">
        <v>6.4050114494748898E+20</v>
      </c>
    </row>
    <row r="5563" spans="1:2" ht="12.9" x14ac:dyDescent="0.35">
      <c r="A5563" s="401">
        <v>45382</v>
      </c>
      <c r="B5563" s="403">
        <v>5.6612036682455502E+20</v>
      </c>
    </row>
    <row r="5564" spans="1:2" ht="12.9" x14ac:dyDescent="0.35">
      <c r="A5564" s="401">
        <v>45383</v>
      </c>
      <c r="B5564" s="403">
        <v>6.1983981769111896E+20</v>
      </c>
    </row>
    <row r="5565" spans="1:2" ht="12.9" x14ac:dyDescent="0.35">
      <c r="A5565" s="401">
        <v>45384</v>
      </c>
      <c r="B5565" s="403">
        <v>6.11575286788571E+20</v>
      </c>
    </row>
    <row r="5566" spans="1:2" ht="12.9" x14ac:dyDescent="0.35">
      <c r="A5566" s="401">
        <v>45385</v>
      </c>
      <c r="B5566" s="403">
        <v>5.8678169408092602E+20</v>
      </c>
    </row>
    <row r="5567" spans="1:2" ht="12.9" x14ac:dyDescent="0.35">
      <c r="A5567" s="401">
        <v>45386</v>
      </c>
      <c r="B5567" s="403">
        <v>5.70252632275829E+20</v>
      </c>
    </row>
    <row r="5568" spans="1:2" ht="12.9" x14ac:dyDescent="0.35">
      <c r="A5568" s="401">
        <v>45387</v>
      </c>
      <c r="B5568" s="403">
        <v>6.11575286788571E+20</v>
      </c>
    </row>
    <row r="5569" spans="1:2" ht="12.9" x14ac:dyDescent="0.35">
      <c r="A5569" s="401">
        <v>45388</v>
      </c>
      <c r="B5569" s="403">
        <v>6.4050114494748898E+20</v>
      </c>
    </row>
    <row r="5570" spans="1:2" ht="12.9" x14ac:dyDescent="0.35">
      <c r="A5570" s="401">
        <v>45389</v>
      </c>
      <c r="B5570" s="403">
        <v>7.0248512671660101E+20</v>
      </c>
    </row>
    <row r="5571" spans="1:2" ht="12.9" x14ac:dyDescent="0.35">
      <c r="A5571" s="401">
        <v>45390</v>
      </c>
      <c r="B5571" s="403">
        <v>6.5289794130131196E+20</v>
      </c>
    </row>
    <row r="5572" spans="1:2" ht="12.9" x14ac:dyDescent="0.35">
      <c r="A5572" s="401">
        <v>45391</v>
      </c>
      <c r="B5572" s="403">
        <v>6.03310755886022E+20</v>
      </c>
    </row>
    <row r="5573" spans="1:2" ht="12.9" x14ac:dyDescent="0.35">
      <c r="A5573" s="401">
        <v>45392</v>
      </c>
      <c r="B5573" s="403">
        <v>6.2397208314239294E+20</v>
      </c>
    </row>
    <row r="5574" spans="1:2" ht="12.9" x14ac:dyDescent="0.35">
      <c r="A5574" s="401">
        <v>45393</v>
      </c>
      <c r="B5574" s="403">
        <v>5.6686060953527203E+20</v>
      </c>
    </row>
    <row r="5575" spans="1:2" ht="12.9" x14ac:dyDescent="0.35">
      <c r="A5575" s="401">
        <v>45394</v>
      </c>
      <c r="B5575" s="403">
        <v>5.8403820376361402E+20</v>
      </c>
    </row>
    <row r="5576" spans="1:2" ht="12.9" x14ac:dyDescent="0.35">
      <c r="A5576" s="401">
        <v>45395</v>
      </c>
      <c r="B5576" s="403">
        <v>7.0428136336200499E+20</v>
      </c>
    </row>
    <row r="5577" spans="1:2" ht="12.9" x14ac:dyDescent="0.35">
      <c r="A5577" s="401">
        <v>45396</v>
      </c>
      <c r="B5577" s="403">
        <v>6.7422057346240702E+20</v>
      </c>
    </row>
    <row r="5578" spans="1:2" ht="12.9" x14ac:dyDescent="0.35">
      <c r="A5578" s="401">
        <v>45397</v>
      </c>
      <c r="B5578" s="403">
        <v>6.05510196549041E+20</v>
      </c>
    </row>
    <row r="5579" spans="1:2" ht="12.9" x14ac:dyDescent="0.35">
      <c r="A5579" s="401">
        <v>45398</v>
      </c>
      <c r="B5579" s="403">
        <v>7.0857576191908997E+20</v>
      </c>
    </row>
    <row r="5580" spans="1:2" ht="12.9" x14ac:dyDescent="0.35">
      <c r="A5580" s="401">
        <v>45399</v>
      </c>
      <c r="B5580" s="403">
        <v>5.88332602320699E+20</v>
      </c>
    </row>
    <row r="5581" spans="1:2" ht="12.9" x14ac:dyDescent="0.35">
      <c r="A5581" s="401">
        <v>45400</v>
      </c>
      <c r="B5581" s="403">
        <v>6.2268779077738195E+20</v>
      </c>
    </row>
    <row r="5582" spans="1:2" ht="12.9" x14ac:dyDescent="0.35">
      <c r="A5582" s="401">
        <v>45401</v>
      </c>
      <c r="B5582" s="403">
        <v>6.4845418211989494E+20</v>
      </c>
    </row>
    <row r="5583" spans="1:2" ht="12.9" x14ac:dyDescent="0.35">
      <c r="A5583" s="401">
        <v>45402</v>
      </c>
      <c r="B5583" s="403">
        <v>5.5827181242110103E+20</v>
      </c>
    </row>
    <row r="5584" spans="1:2" ht="12.9" x14ac:dyDescent="0.35">
      <c r="A5584" s="401">
        <v>45403</v>
      </c>
      <c r="B5584" s="403">
        <v>6.0121579799195497E+20</v>
      </c>
    </row>
    <row r="5585" spans="1:2" ht="12.9" x14ac:dyDescent="0.35">
      <c r="A5585" s="401">
        <v>45404</v>
      </c>
      <c r="B5585" s="403">
        <v>6.5274858067698005E+20</v>
      </c>
    </row>
    <row r="5586" spans="1:2" ht="12.9" x14ac:dyDescent="0.35">
      <c r="A5586" s="401">
        <v>45405</v>
      </c>
      <c r="B5586" s="403">
        <v>7.2145895759034594E+20</v>
      </c>
    </row>
    <row r="5587" spans="1:2" ht="12.9" x14ac:dyDescent="0.35">
      <c r="A5587" s="401">
        <v>45406</v>
      </c>
      <c r="B5587" s="403">
        <v>6.6563177634823602E+20</v>
      </c>
    </row>
    <row r="5588" spans="1:2" ht="12.9" x14ac:dyDescent="0.35">
      <c r="A5588" s="401">
        <v>45407</v>
      </c>
      <c r="B5588" s="403">
        <v>6.2629468273023399E+20</v>
      </c>
    </row>
    <row r="5589" spans="1:2" ht="12.9" x14ac:dyDescent="0.35">
      <c r="A5589" s="401">
        <v>45408</v>
      </c>
      <c r="B5589" s="403">
        <v>5.8249785177007797E+20</v>
      </c>
    </row>
    <row r="5590" spans="1:2" ht="12.9" x14ac:dyDescent="0.35">
      <c r="A5590" s="401">
        <v>45409</v>
      </c>
      <c r="B5590" s="403">
        <v>6.1315563344218699E+20</v>
      </c>
    </row>
    <row r="5591" spans="1:2" ht="12.9" x14ac:dyDescent="0.35">
      <c r="A5591" s="401">
        <v>45410</v>
      </c>
      <c r="B5591" s="403">
        <v>6.1315563344218699E+20</v>
      </c>
    </row>
    <row r="5592" spans="1:2" ht="12.9" x14ac:dyDescent="0.35">
      <c r="A5592" s="401">
        <v>45411</v>
      </c>
      <c r="B5592" s="403">
        <v>5.7373848557804703E+20</v>
      </c>
    </row>
    <row r="5593" spans="1:2" ht="12.9" x14ac:dyDescent="0.35">
      <c r="A5593" s="401">
        <v>45412</v>
      </c>
      <c r="B5593" s="403">
        <v>6.1753531653820305E+20</v>
      </c>
    </row>
    <row r="5594" spans="1:2" ht="12.9" x14ac:dyDescent="0.35">
      <c r="A5594" s="401">
        <v>45413</v>
      </c>
      <c r="B5594" s="403">
        <v>5.7811816867406198E+20</v>
      </c>
    </row>
    <row r="5595" spans="1:2" ht="12.9" x14ac:dyDescent="0.35">
      <c r="A5595" s="401">
        <v>45414</v>
      </c>
      <c r="B5595" s="403">
        <v>6.3505404892226598E+20</v>
      </c>
    </row>
    <row r="5596" spans="1:2" ht="12.9" x14ac:dyDescent="0.35">
      <c r="A5596" s="401">
        <v>45415</v>
      </c>
      <c r="B5596" s="403">
        <v>5.6497911938601497E+20</v>
      </c>
    </row>
    <row r="5597" spans="1:2" ht="12.9" x14ac:dyDescent="0.35">
      <c r="A5597" s="401">
        <v>45416</v>
      </c>
      <c r="B5597" s="403">
        <v>6.1753531653820305E+20</v>
      </c>
    </row>
    <row r="5598" spans="1:2" ht="12.9" x14ac:dyDescent="0.35">
      <c r="A5598" s="401">
        <v>45417</v>
      </c>
      <c r="B5598" s="403">
        <v>6.0877595034617197E+20</v>
      </c>
    </row>
    <row r="5599" spans="1:2" ht="12.9" x14ac:dyDescent="0.35">
      <c r="A5599" s="401">
        <v>45418</v>
      </c>
      <c r="B5599" s="403">
        <v>5.3432133771390602E+20</v>
      </c>
    </row>
    <row r="5600" spans="1:2" ht="12.9" x14ac:dyDescent="0.35">
      <c r="A5600" s="401">
        <v>45419</v>
      </c>
      <c r="B5600" s="403">
        <v>5.3432133771390602E+20</v>
      </c>
    </row>
    <row r="5601" spans="1:2" ht="12.9" x14ac:dyDescent="0.35">
      <c r="A5601" s="401">
        <v>45420</v>
      </c>
      <c r="B5601" s="403">
        <v>5.5621975319398397E+20</v>
      </c>
    </row>
    <row r="5602" spans="1:2" ht="12.9" x14ac:dyDescent="0.35">
      <c r="A5602" s="401">
        <v>45421</v>
      </c>
      <c r="B5602" s="403">
        <v>5.9933243757901106E+20</v>
      </c>
    </row>
    <row r="5603" spans="1:2" ht="12.9" x14ac:dyDescent="0.35">
      <c r="A5603" s="401">
        <v>45422</v>
      </c>
      <c r="B5603" s="403">
        <v>5.9933243757901106E+20</v>
      </c>
    </row>
    <row r="5604" spans="1:2" ht="12.9" x14ac:dyDescent="0.35">
      <c r="A5604" s="401">
        <v>45423</v>
      </c>
      <c r="B5604" s="403">
        <v>6.5719901775905397E+20</v>
      </c>
    </row>
    <row r="5605" spans="1:2" ht="12.9" x14ac:dyDescent="0.35">
      <c r="A5605" s="401">
        <v>45424</v>
      </c>
      <c r="B5605" s="403">
        <v>5.4559918455468602E+20</v>
      </c>
    </row>
    <row r="5606" spans="1:2" ht="12.9" x14ac:dyDescent="0.35">
      <c r="A5606" s="401">
        <v>45425</v>
      </c>
      <c r="B5606" s="403">
        <v>6.0759909189044601E+20</v>
      </c>
    </row>
    <row r="5607" spans="1:2" ht="12.9" x14ac:dyDescent="0.35">
      <c r="A5607" s="401">
        <v>45426</v>
      </c>
      <c r="B5607" s="403">
        <v>5.6213249317755499E+20</v>
      </c>
    </row>
    <row r="5608" spans="1:2" ht="12.9" x14ac:dyDescent="0.35">
      <c r="A5608" s="401">
        <v>45427</v>
      </c>
      <c r="B5608" s="403">
        <v>5.8279912895614203E+20</v>
      </c>
    </row>
    <row r="5609" spans="1:2" ht="12.9" x14ac:dyDescent="0.35">
      <c r="A5609" s="401">
        <v>45428</v>
      </c>
      <c r="B5609" s="403">
        <v>5.8693245611185897E+20</v>
      </c>
    </row>
    <row r="5610" spans="1:2" ht="12.9" x14ac:dyDescent="0.35">
      <c r="A5610" s="401">
        <v>45429</v>
      </c>
      <c r="B5610" s="403">
        <v>6.40665709136185E+20</v>
      </c>
    </row>
    <row r="5611" spans="1:2" ht="12.9" x14ac:dyDescent="0.35">
      <c r="A5611" s="401">
        <v>45430</v>
      </c>
      <c r="B5611" s="403">
        <v>5.2906587593181698E+20</v>
      </c>
    </row>
    <row r="5612" spans="1:2" ht="12.9" x14ac:dyDescent="0.35">
      <c r="A5612" s="401">
        <v>45431</v>
      </c>
      <c r="B5612" s="403">
        <v>6.36532381980467E+20</v>
      </c>
    </row>
    <row r="5613" spans="1:2" ht="12.9" x14ac:dyDescent="0.35">
      <c r="A5613" s="401">
        <v>45432</v>
      </c>
      <c r="B5613" s="403">
        <v>6.4479903629190195E+20</v>
      </c>
    </row>
    <row r="5614" spans="1:2" ht="12.9" x14ac:dyDescent="0.35">
      <c r="A5614" s="401">
        <v>45433</v>
      </c>
      <c r="B5614" s="403">
        <v>5.7039914748899E+20</v>
      </c>
    </row>
    <row r="5615" spans="1:2" ht="12.9" x14ac:dyDescent="0.35">
      <c r="A5615" s="401">
        <v>45434</v>
      </c>
      <c r="B5615" s="403">
        <v>6.3239905482475006E+20</v>
      </c>
    </row>
    <row r="5616" spans="1:2" ht="12.9" x14ac:dyDescent="0.35">
      <c r="A5616" s="401">
        <v>45435</v>
      </c>
      <c r="B5616" s="403">
        <v>7.0889166171780101E+20</v>
      </c>
    </row>
    <row r="5617" spans="1:2" ht="12.9" x14ac:dyDescent="0.35">
      <c r="A5617" s="401">
        <v>45436</v>
      </c>
      <c r="B5617" s="403">
        <v>6.7114003476241501E+20</v>
      </c>
    </row>
    <row r="5618" spans="1:2" ht="12.9" x14ac:dyDescent="0.35">
      <c r="A5618" s="401">
        <v>45437</v>
      </c>
      <c r="B5618" s="403">
        <v>6.7114003476241501E+20</v>
      </c>
    </row>
    <row r="5619" spans="1:2" ht="12.9" x14ac:dyDescent="0.35">
      <c r="A5619" s="401">
        <v>45438</v>
      </c>
      <c r="B5619" s="403">
        <v>7.04697036500536E+20</v>
      </c>
    </row>
    <row r="5620" spans="1:2" ht="12.9" x14ac:dyDescent="0.35">
      <c r="A5620" s="401">
        <v>45439</v>
      </c>
      <c r="B5620" s="403">
        <v>5.1593890172360602E+20</v>
      </c>
    </row>
    <row r="5621" spans="1:2" ht="12.9" x14ac:dyDescent="0.35">
      <c r="A5621" s="401">
        <v>45440</v>
      </c>
      <c r="B5621" s="403">
        <v>5.6207977911352197E+20</v>
      </c>
    </row>
    <row r="5622" spans="1:2" ht="12.9" x14ac:dyDescent="0.35">
      <c r="A5622" s="401">
        <v>45441</v>
      </c>
      <c r="B5622" s="403">
        <v>5.7466365476531798E+20</v>
      </c>
    </row>
    <row r="5623" spans="1:2" ht="12.9" x14ac:dyDescent="0.35">
      <c r="A5623" s="401">
        <v>45442</v>
      </c>
      <c r="B5623" s="403">
        <v>5.1593890172360602E+20</v>
      </c>
    </row>
    <row r="5624" spans="1:2" ht="12.9" x14ac:dyDescent="0.35">
      <c r="A5624" s="401">
        <v>45443</v>
      </c>
      <c r="B5624" s="403">
        <v>6.2080453215523399E+20</v>
      </c>
    </row>
    <row r="5625" spans="1:2" ht="12.9" x14ac:dyDescent="0.35">
      <c r="A5625" s="401">
        <v>45444</v>
      </c>
      <c r="B5625" s="403">
        <v>5.9144215563437801E+20</v>
      </c>
    </row>
    <row r="5626" spans="1:2" ht="12.9" x14ac:dyDescent="0.35">
      <c r="A5626" s="401">
        <v>45445</v>
      </c>
      <c r="B5626" s="403">
        <v>5.8724753041711301E+20</v>
      </c>
    </row>
    <row r="5627" spans="1:2" ht="12.9" x14ac:dyDescent="0.35">
      <c r="A5627" s="401">
        <v>45446</v>
      </c>
      <c r="B5627" s="403">
        <v>6.5855615911061999E+20</v>
      </c>
    </row>
    <row r="5628" spans="1:2" ht="12.9" x14ac:dyDescent="0.35">
      <c r="A5628" s="401">
        <v>45447</v>
      </c>
      <c r="B5628" s="403">
        <v>5.6207977911352197E+20</v>
      </c>
    </row>
    <row r="5629" spans="1:2" ht="12.9" x14ac:dyDescent="0.35">
      <c r="A5629" s="401">
        <v>45448</v>
      </c>
      <c r="B5629" s="403">
        <v>5.1593890172360602E+20</v>
      </c>
    </row>
    <row r="5630" spans="1:2" ht="12.9" x14ac:dyDescent="0.35">
      <c r="A5630" s="401">
        <v>45449</v>
      </c>
      <c r="B5630" s="403">
        <v>5.5348980559013603E+20</v>
      </c>
    </row>
    <row r="5631" spans="1:2" ht="12.9" x14ac:dyDescent="0.35">
      <c r="A5631" s="401">
        <v>45450</v>
      </c>
      <c r="B5631" s="403">
        <v>5.90944002960898E+20</v>
      </c>
    </row>
    <row r="5632" spans="1:2" ht="12.9" x14ac:dyDescent="0.35">
      <c r="A5632" s="401">
        <v>45451</v>
      </c>
      <c r="B5632" s="403">
        <v>7.1579132753010098E+20</v>
      </c>
    </row>
    <row r="5633" spans="1:2" ht="12.9" x14ac:dyDescent="0.35">
      <c r="A5633" s="401">
        <v>45452</v>
      </c>
      <c r="B5633" s="403">
        <v>6.36721355302939E+20</v>
      </c>
    </row>
    <row r="5634" spans="1:2" ht="12.9" x14ac:dyDescent="0.35">
      <c r="A5634" s="401">
        <v>45453</v>
      </c>
      <c r="B5634" s="403">
        <v>5.7845927050397699E+20</v>
      </c>
    </row>
    <row r="5635" spans="1:2" ht="12.9" x14ac:dyDescent="0.35">
      <c r="A5635" s="401">
        <v>45454</v>
      </c>
      <c r="B5635" s="403">
        <v>5.1187403073373497E+20</v>
      </c>
    </row>
    <row r="5636" spans="1:2" ht="12.9" x14ac:dyDescent="0.35">
      <c r="A5636" s="401">
        <v>45455</v>
      </c>
      <c r="B5636" s="403">
        <v>6.0759031290345803E+20</v>
      </c>
    </row>
    <row r="5637" spans="1:2" ht="12.9" x14ac:dyDescent="0.35">
      <c r="A5637" s="401">
        <v>45456</v>
      </c>
      <c r="B5637" s="403">
        <v>6.0342873541781802E+20</v>
      </c>
    </row>
    <row r="5638" spans="1:2" ht="12.9" x14ac:dyDescent="0.35">
      <c r="A5638" s="401">
        <v>45457</v>
      </c>
      <c r="B5638" s="403">
        <v>5.3268191816193599E+20</v>
      </c>
    </row>
    <row r="5639" spans="1:2" ht="12.9" x14ac:dyDescent="0.35">
      <c r="A5639" s="401">
        <v>45458</v>
      </c>
      <c r="B5639" s="403">
        <v>5.5765138307577597E+20</v>
      </c>
    </row>
    <row r="5640" spans="1:2" ht="12.9" x14ac:dyDescent="0.35">
      <c r="A5640" s="401">
        <v>45459</v>
      </c>
      <c r="B5640" s="403">
        <v>6.7833713015934E+20</v>
      </c>
    </row>
    <row r="5641" spans="1:2" ht="12.9" x14ac:dyDescent="0.35">
      <c r="A5641" s="401">
        <v>45460</v>
      </c>
      <c r="B5641" s="403">
        <v>5.82620847989617E+20</v>
      </c>
    </row>
    <row r="5642" spans="1:2" ht="12.9" x14ac:dyDescent="0.35">
      <c r="A5642" s="401">
        <v>45461</v>
      </c>
      <c r="B5642" s="403">
        <v>6.3255977781729899E+20</v>
      </c>
    </row>
    <row r="5643" spans="1:2" ht="12.9" x14ac:dyDescent="0.35">
      <c r="A5643" s="401">
        <v>45462</v>
      </c>
      <c r="B5643" s="403">
        <v>5.7013611553269698E+20</v>
      </c>
    </row>
    <row r="5644" spans="1:2" ht="12.9" x14ac:dyDescent="0.35">
      <c r="A5644" s="401">
        <v>45463</v>
      </c>
      <c r="B5644" s="403">
        <v>5.5321614005231498E+20</v>
      </c>
    </row>
    <row r="5645" spans="1:2" ht="12.9" x14ac:dyDescent="0.35">
      <c r="A5645" s="401">
        <v>45464</v>
      </c>
      <c r="B5645" s="403">
        <v>5.8233277900243698E+20</v>
      </c>
    </row>
    <row r="5646" spans="1:2" ht="12.9" x14ac:dyDescent="0.35">
      <c r="A5646" s="401">
        <v>45465</v>
      </c>
      <c r="B5646" s="403">
        <v>6.3224701720264599E+20</v>
      </c>
    </row>
    <row r="5647" spans="1:2" ht="12.9" x14ac:dyDescent="0.35">
      <c r="A5647" s="401">
        <v>45466</v>
      </c>
      <c r="B5647" s="403">
        <v>4.6586622320194899E+20</v>
      </c>
    </row>
    <row r="5648" spans="1:2" ht="12.9" x14ac:dyDescent="0.35">
      <c r="A5648" s="401">
        <v>45467</v>
      </c>
      <c r="B5648" s="403">
        <v>6.3224701720264599E+20</v>
      </c>
    </row>
    <row r="5649" spans="1:2" ht="12.9" x14ac:dyDescent="0.35">
      <c r="A5649" s="401">
        <v>45468</v>
      </c>
      <c r="B5649" s="403">
        <v>5.1578046140215801E+20</v>
      </c>
    </row>
    <row r="5650" spans="1:2" ht="12.9" x14ac:dyDescent="0.35">
      <c r="A5650" s="401">
        <v>45469</v>
      </c>
      <c r="B5650" s="403">
        <v>5.0330190185210603E+20</v>
      </c>
    </row>
    <row r="5651" spans="1:2" ht="12.9" x14ac:dyDescent="0.35">
      <c r="A5651" s="401">
        <v>45470</v>
      </c>
      <c r="B5651" s="403">
        <v>5.4073758050226301E+20</v>
      </c>
    </row>
    <row r="5652" spans="1:2" ht="12.9" x14ac:dyDescent="0.35">
      <c r="A5652" s="401">
        <v>45471</v>
      </c>
      <c r="B5652" s="403">
        <v>5.6153517975235002E+20</v>
      </c>
    </row>
    <row r="5653" spans="1:2" ht="12.9" x14ac:dyDescent="0.35">
      <c r="A5653" s="401">
        <v>45472</v>
      </c>
      <c r="B5653" s="403">
        <v>6.5304461645273301E+20</v>
      </c>
    </row>
    <row r="5654" spans="1:2" ht="12.9" x14ac:dyDescent="0.35">
      <c r="A5654" s="401">
        <v>45473</v>
      </c>
      <c r="B5654" s="403">
        <v>5.0330190185210603E+20</v>
      </c>
    </row>
    <row r="5655" spans="1:2" ht="12.9" x14ac:dyDescent="0.35">
      <c r="A5655" s="401">
        <v>45474</v>
      </c>
      <c r="B5655" s="403">
        <v>5.8649229885245397E+20</v>
      </c>
    </row>
    <row r="5656" spans="1:2" ht="12.9" x14ac:dyDescent="0.35">
      <c r="A5656" s="401">
        <v>45475</v>
      </c>
      <c r="B5656" s="403">
        <v>6.1560893780257604E+20</v>
      </c>
    </row>
    <row r="5657" spans="1:2" ht="12.9" x14ac:dyDescent="0.35">
      <c r="A5657" s="401">
        <v>45476</v>
      </c>
      <c r="B5657" s="403">
        <v>6.0313037825252406E+20</v>
      </c>
    </row>
    <row r="5658" spans="1:2" ht="12.9" x14ac:dyDescent="0.35">
      <c r="A5658" s="401">
        <v>45477</v>
      </c>
      <c r="B5658" s="403">
        <v>5.8233277900243698E+20</v>
      </c>
    </row>
    <row r="5659" spans="1:2" ht="12.9" x14ac:dyDescent="0.35">
      <c r="A5659" s="401">
        <v>45478</v>
      </c>
      <c r="B5659" s="403">
        <v>4.7815903884592402E+20</v>
      </c>
    </row>
    <row r="5660" spans="1:2" ht="12.9" x14ac:dyDescent="0.35">
      <c r="A5660" s="401">
        <v>45479</v>
      </c>
      <c r="B5660" s="403">
        <v>6.5203505297171402E+20</v>
      </c>
    </row>
    <row r="5661" spans="1:2" ht="12.9" x14ac:dyDescent="0.35">
      <c r="A5661" s="401">
        <v>45480</v>
      </c>
      <c r="B5661" s="403">
        <v>5.5719359072128303E+20</v>
      </c>
    </row>
    <row r="5662" spans="1:2" ht="12.9" x14ac:dyDescent="0.35">
      <c r="A5662" s="401">
        <v>45481</v>
      </c>
      <c r="B5662" s="403">
        <v>6.2832468740910599E+20</v>
      </c>
    </row>
    <row r="5663" spans="1:2" ht="12.9" x14ac:dyDescent="0.35">
      <c r="A5663" s="401">
        <v>45482</v>
      </c>
      <c r="B5663" s="403">
        <v>6.0856604944026698E+20</v>
      </c>
    </row>
    <row r="5664" spans="1:2" ht="12.9" x14ac:dyDescent="0.35">
      <c r="A5664" s="401">
        <v>45483</v>
      </c>
      <c r="B5664" s="403">
        <v>5.3743495275244303E+20</v>
      </c>
    </row>
    <row r="5665" spans="1:2" ht="12.9" x14ac:dyDescent="0.35">
      <c r="A5665" s="401">
        <v>45484</v>
      </c>
      <c r="B5665" s="403">
        <v>5.53241863127515E+20</v>
      </c>
    </row>
    <row r="5666" spans="1:2" ht="12.9" x14ac:dyDescent="0.35">
      <c r="A5666" s="401">
        <v>45485</v>
      </c>
      <c r="B5666" s="403">
        <v>5.92759139065195E+20</v>
      </c>
    </row>
    <row r="5667" spans="1:2" ht="12.9" x14ac:dyDescent="0.35">
      <c r="A5667" s="401">
        <v>45486</v>
      </c>
      <c r="B5667" s="403">
        <v>6.0856604944026698E+20</v>
      </c>
    </row>
    <row r="5668" spans="1:2" ht="12.9" x14ac:dyDescent="0.35">
      <c r="A5668" s="401">
        <v>45487</v>
      </c>
      <c r="B5668" s="403">
        <v>6.5993850815924994E+20</v>
      </c>
    </row>
    <row r="5669" spans="1:2" ht="12.9" x14ac:dyDescent="0.35">
      <c r="A5669" s="401">
        <v>45488</v>
      </c>
      <c r="B5669" s="403">
        <v>6.0461432184649902E+20</v>
      </c>
    </row>
    <row r="5670" spans="1:2" ht="12.9" x14ac:dyDescent="0.35">
      <c r="A5670" s="401">
        <v>45489</v>
      </c>
      <c r="B5670" s="403">
        <v>5.8090395628389099E+20</v>
      </c>
    </row>
    <row r="5671" spans="1:2" ht="12.9" x14ac:dyDescent="0.35">
      <c r="A5671" s="401">
        <v>45490</v>
      </c>
      <c r="B5671" s="403">
        <v>6.2832468740910599E+20</v>
      </c>
    </row>
    <row r="5672" spans="1:2" ht="12.9" x14ac:dyDescent="0.35">
      <c r="A5672" s="401">
        <v>45491</v>
      </c>
      <c r="B5672" s="403">
        <v>5.0977285959606698E+20</v>
      </c>
    </row>
    <row r="5673" spans="1:2" ht="12.9" x14ac:dyDescent="0.35">
      <c r="A5673" s="401">
        <v>45492</v>
      </c>
      <c r="B5673" s="403">
        <v>5.9955636152355796E+20</v>
      </c>
    </row>
    <row r="5674" spans="1:2" ht="12.9" x14ac:dyDescent="0.35">
      <c r="A5674" s="401">
        <v>45493</v>
      </c>
      <c r="B5674" s="403">
        <v>6.7297142619991205E+20</v>
      </c>
    </row>
    <row r="5675" spans="1:2" ht="12.9" x14ac:dyDescent="0.35">
      <c r="A5675" s="401">
        <v>45494</v>
      </c>
      <c r="B5675" s="403">
        <v>6.8928588501687901E+20</v>
      </c>
    </row>
    <row r="5676" spans="1:2" ht="12.9" x14ac:dyDescent="0.35">
      <c r="A5676" s="401">
        <v>45495</v>
      </c>
      <c r="B5676" s="403">
        <v>7.3007203205929894E+20</v>
      </c>
    </row>
    <row r="5677" spans="1:2" ht="12.9" x14ac:dyDescent="0.35">
      <c r="A5677" s="401">
        <v>45496</v>
      </c>
      <c r="B5677" s="403">
        <v>6.8928588501687901E+20</v>
      </c>
    </row>
    <row r="5678" spans="1:2" ht="12.9" x14ac:dyDescent="0.35">
      <c r="A5678" s="401">
        <v>45497</v>
      </c>
      <c r="B5678" s="403">
        <v>5.7100605859386497E+20</v>
      </c>
    </row>
    <row r="5679" spans="1:2" ht="12.9" x14ac:dyDescent="0.35">
      <c r="A5679" s="401">
        <v>45498</v>
      </c>
      <c r="B5679" s="403">
        <v>6.6481419679142799E+20</v>
      </c>
    </row>
    <row r="5680" spans="1:2" ht="12.9" x14ac:dyDescent="0.35">
      <c r="A5680" s="401">
        <v>45499</v>
      </c>
      <c r="B5680" s="403">
        <v>6.5257835267870294E+20</v>
      </c>
    </row>
    <row r="5681" spans="1:2" ht="12.9" x14ac:dyDescent="0.35">
      <c r="A5681" s="401">
        <v>45500</v>
      </c>
      <c r="B5681" s="403">
        <v>6.2810666445325101E+20</v>
      </c>
    </row>
    <row r="5682" spans="1:2" ht="12.9" x14ac:dyDescent="0.35">
      <c r="A5682" s="401">
        <v>45501</v>
      </c>
      <c r="B5682" s="403">
        <v>6.0363497622779999E+20</v>
      </c>
    </row>
    <row r="5683" spans="1:2" ht="12.9" x14ac:dyDescent="0.35">
      <c r="A5683" s="401">
        <v>45502</v>
      </c>
      <c r="B5683" s="403">
        <v>7.2599341735505704E+20</v>
      </c>
    </row>
    <row r="5684" spans="1:2" ht="12.9" x14ac:dyDescent="0.35">
      <c r="A5684" s="401">
        <v>45503</v>
      </c>
      <c r="B5684" s="403">
        <v>6.1179220563628406E+20</v>
      </c>
    </row>
    <row r="5685" spans="1:2" ht="12.9" x14ac:dyDescent="0.35">
      <c r="A5685" s="401">
        <v>45504</v>
      </c>
      <c r="B5685" s="403">
        <v>6.35494936245638E+20</v>
      </c>
    </row>
    <row r="5686" spans="1:2" ht="12.9" x14ac:dyDescent="0.35">
      <c r="A5686" s="401">
        <v>45505</v>
      </c>
      <c r="B5686" s="403">
        <v>6.3098787996020795E+20</v>
      </c>
    </row>
    <row r="5687" spans="1:2" ht="12.9" x14ac:dyDescent="0.35">
      <c r="A5687" s="401">
        <v>45506</v>
      </c>
      <c r="B5687" s="403">
        <v>5.63382035678757E+20</v>
      </c>
    </row>
    <row r="5688" spans="1:2" ht="12.9" x14ac:dyDescent="0.35">
      <c r="A5688" s="401">
        <v>45507</v>
      </c>
      <c r="B5688" s="403">
        <v>6.0845259853305794E+20</v>
      </c>
    </row>
    <row r="5689" spans="1:2" ht="12.9" x14ac:dyDescent="0.35">
      <c r="A5689" s="401">
        <v>45508</v>
      </c>
      <c r="B5689" s="403">
        <v>6.4450904881649903E+20</v>
      </c>
    </row>
    <row r="5690" spans="1:2" ht="12.9" x14ac:dyDescent="0.35">
      <c r="A5690" s="401">
        <v>45509</v>
      </c>
      <c r="B5690" s="403">
        <v>7.0310078052708896E+20</v>
      </c>
    </row>
    <row r="5691" spans="1:2" ht="12.9" x14ac:dyDescent="0.35">
      <c r="A5691" s="401">
        <v>45510</v>
      </c>
      <c r="B5691" s="403">
        <v>6.3098787996020795E+20</v>
      </c>
    </row>
    <row r="5692" spans="1:2" ht="12.9" x14ac:dyDescent="0.35">
      <c r="A5692" s="401">
        <v>45511</v>
      </c>
      <c r="B5692" s="403">
        <v>5.4986086682246703E+20</v>
      </c>
    </row>
    <row r="5693" spans="1:2" ht="12.9" x14ac:dyDescent="0.35">
      <c r="A5693" s="401">
        <v>45512</v>
      </c>
      <c r="B5693" s="403">
        <v>5.81410260820478E+20</v>
      </c>
    </row>
    <row r="5694" spans="1:2" ht="12.9" x14ac:dyDescent="0.35">
      <c r="A5694" s="401">
        <v>45513</v>
      </c>
      <c r="B5694" s="403">
        <v>5.8591731710590799E+20</v>
      </c>
    </row>
    <row r="5695" spans="1:2" ht="12.9" x14ac:dyDescent="0.35">
      <c r="A5695" s="401">
        <v>45514</v>
      </c>
      <c r="B5695" s="403">
        <v>5.81410260820478E+20</v>
      </c>
    </row>
    <row r="5696" spans="1:2" ht="12.9" x14ac:dyDescent="0.35">
      <c r="A5696" s="401">
        <v>45515</v>
      </c>
      <c r="B5696" s="403">
        <v>7.2563606195424002E+20</v>
      </c>
    </row>
    <row r="5697" spans="1:2" ht="12.9" x14ac:dyDescent="0.35">
      <c r="A5697" s="401">
        <v>45516</v>
      </c>
      <c r="B5697" s="403">
        <v>6.1746671110391805E+20</v>
      </c>
    </row>
    <row r="5698" spans="1:2" ht="12.9" x14ac:dyDescent="0.35">
      <c r="A5698" s="401">
        <v>45517</v>
      </c>
      <c r="B5698" s="403">
        <v>6.7155138652907897E+20</v>
      </c>
    </row>
    <row r="5699" spans="1:2" ht="12.9" x14ac:dyDescent="0.35">
      <c r="A5699" s="401">
        <v>45518</v>
      </c>
      <c r="B5699" s="403">
        <v>5.9493142967676803E+20</v>
      </c>
    </row>
    <row r="5700" spans="1:2" ht="12.9" x14ac:dyDescent="0.35">
      <c r="A5700" s="401">
        <v>45519</v>
      </c>
      <c r="B5700" s="403">
        <v>6.9094470580168806E+20</v>
      </c>
    </row>
    <row r="5701" spans="1:2" ht="12.9" x14ac:dyDescent="0.35">
      <c r="A5701" s="401">
        <v>45520</v>
      </c>
      <c r="B5701" s="403">
        <v>6.1321342639899804E+20</v>
      </c>
    </row>
    <row r="5702" spans="1:2" ht="12.9" x14ac:dyDescent="0.35">
      <c r="A5702" s="401">
        <v>45521</v>
      </c>
      <c r="B5702" s="403">
        <v>6.4344225727782204E+20</v>
      </c>
    </row>
    <row r="5703" spans="1:2" ht="12.9" x14ac:dyDescent="0.35">
      <c r="A5703" s="401">
        <v>45522</v>
      </c>
      <c r="B5703" s="403">
        <v>6.7367108815664605E+20</v>
      </c>
    </row>
    <row r="5704" spans="1:2" ht="12.9" x14ac:dyDescent="0.35">
      <c r="A5704" s="401">
        <v>45523</v>
      </c>
      <c r="B5704" s="403">
        <v>5.6139257346387103E+20</v>
      </c>
    </row>
    <row r="5705" spans="1:2" ht="12.9" x14ac:dyDescent="0.35">
      <c r="A5705" s="401">
        <v>45524</v>
      </c>
      <c r="B5705" s="403">
        <v>6.4776066168908205E+20</v>
      </c>
    </row>
    <row r="5706" spans="1:2" ht="12.9" x14ac:dyDescent="0.35">
      <c r="A5706" s="401">
        <v>45525</v>
      </c>
      <c r="B5706" s="403">
        <v>6.3480544845530097E+20</v>
      </c>
    </row>
    <row r="5707" spans="1:2" ht="12.9" x14ac:dyDescent="0.35">
      <c r="A5707" s="401">
        <v>45526</v>
      </c>
      <c r="B5707" s="403">
        <v>6.9094470580168806E+20</v>
      </c>
    </row>
    <row r="5708" spans="1:2" ht="12.9" x14ac:dyDescent="0.35">
      <c r="A5708" s="401">
        <v>45527</v>
      </c>
      <c r="B5708" s="403">
        <v>7.0821832344673006E+20</v>
      </c>
    </row>
    <row r="5709" spans="1:2" ht="12.9" x14ac:dyDescent="0.35">
      <c r="A5709" s="401">
        <v>45528</v>
      </c>
      <c r="B5709" s="403">
        <v>6.6071587492286405E+20</v>
      </c>
    </row>
    <row r="5710" spans="1:2" ht="12.9" x14ac:dyDescent="0.35">
      <c r="A5710" s="401">
        <v>45529</v>
      </c>
      <c r="B5710" s="403">
        <v>5.7434778669765303E+20</v>
      </c>
    </row>
    <row r="5711" spans="1:2" ht="12.9" x14ac:dyDescent="0.35">
      <c r="A5711" s="401">
        <v>45530</v>
      </c>
      <c r="B5711" s="403">
        <v>5.7866619110891297E+20</v>
      </c>
    </row>
    <row r="5712" spans="1:2" ht="12.9" x14ac:dyDescent="0.35">
      <c r="A5712" s="401">
        <v>45531</v>
      </c>
      <c r="B5712" s="403">
        <v>6.1321342639899804E+20</v>
      </c>
    </row>
    <row r="5713" spans="1:2" ht="12.9" x14ac:dyDescent="0.35">
      <c r="A5713" s="401">
        <v>45532</v>
      </c>
      <c r="B5713" s="403">
        <v>6.9526311021294794E+20</v>
      </c>
    </row>
    <row r="5714" spans="1:2" ht="12.9" x14ac:dyDescent="0.35">
      <c r="A5714" s="401">
        <v>45533</v>
      </c>
      <c r="B5714" s="403">
        <v>5.8709119659630697E+20</v>
      </c>
    </row>
    <row r="5715" spans="1:2" ht="12.9" x14ac:dyDescent="0.35">
      <c r="A5715" s="401">
        <v>45534</v>
      </c>
      <c r="B5715" s="403">
        <v>6.3156780239905699E+20</v>
      </c>
    </row>
    <row r="5716" spans="1:2" ht="12.9" x14ac:dyDescent="0.35">
      <c r="A5716" s="401">
        <v>45535</v>
      </c>
      <c r="B5716" s="403">
        <v>6.5380610530043206E+20</v>
      </c>
    </row>
    <row r="5717" spans="1:2" ht="12.9" x14ac:dyDescent="0.35">
      <c r="A5717" s="401">
        <v>45536</v>
      </c>
      <c r="B5717" s="403">
        <v>6.3156780239905699E+20</v>
      </c>
    </row>
    <row r="5718" spans="1:2" ht="12.9" x14ac:dyDescent="0.35">
      <c r="A5718" s="401">
        <v>45537</v>
      </c>
      <c r="B5718" s="403">
        <v>7.4275931690593301E+20</v>
      </c>
    </row>
    <row r="5719" spans="1:2" ht="12.9" x14ac:dyDescent="0.35">
      <c r="A5719" s="401">
        <v>45538</v>
      </c>
      <c r="B5719" s="403">
        <v>6.6270142646098199E+20</v>
      </c>
    </row>
    <row r="5720" spans="1:2" ht="12.9" x14ac:dyDescent="0.35">
      <c r="A5720" s="401">
        <v>45539</v>
      </c>
      <c r="B5720" s="403">
        <v>6.7159674762153296E+20</v>
      </c>
    </row>
    <row r="5721" spans="1:2" ht="12.9" x14ac:dyDescent="0.35">
      <c r="A5721" s="401">
        <v>45540</v>
      </c>
      <c r="B5721" s="403">
        <v>6.8938738994263294E+20</v>
      </c>
    </row>
    <row r="5722" spans="1:2" ht="12.9" x14ac:dyDescent="0.35">
      <c r="A5722" s="401">
        <v>45541</v>
      </c>
      <c r="B5722" s="403">
        <v>6.44910784139882E+20</v>
      </c>
    </row>
    <row r="5723" spans="1:2" ht="12.9" x14ac:dyDescent="0.35">
      <c r="A5723" s="401">
        <v>45542</v>
      </c>
      <c r="B5723" s="403">
        <v>7.0273037168345796E+20</v>
      </c>
    </row>
    <row r="5724" spans="1:2" ht="12.9" x14ac:dyDescent="0.35">
      <c r="A5724" s="401">
        <v>45543</v>
      </c>
      <c r="B5724" s="403">
        <v>7.4275931690593301E+20</v>
      </c>
    </row>
    <row r="5725" spans="1:2" ht="12.9" x14ac:dyDescent="0.35">
      <c r="A5725" s="401">
        <v>45544</v>
      </c>
      <c r="B5725" s="403">
        <v>6.44910784139882E+20</v>
      </c>
    </row>
    <row r="5726" spans="1:2" ht="12.9" x14ac:dyDescent="0.35">
      <c r="A5726" s="401">
        <v>45545</v>
      </c>
      <c r="B5726" s="403">
        <v>6.0932949949768204E+20</v>
      </c>
    </row>
    <row r="5727" spans="1:2" ht="12.9" x14ac:dyDescent="0.35">
      <c r="A5727" s="401">
        <v>45546</v>
      </c>
      <c r="B5727" s="403">
        <v>4.97526736659545E+20</v>
      </c>
    </row>
    <row r="5728" spans="1:2" ht="12.9" x14ac:dyDescent="0.35">
      <c r="A5728" s="401">
        <v>45547</v>
      </c>
      <c r="B5728" s="403">
        <v>7.0022281455787901E+20</v>
      </c>
    </row>
    <row r="5729" spans="1:2" ht="12.9" x14ac:dyDescent="0.35">
      <c r="A5729" s="401">
        <v>45548</v>
      </c>
      <c r="B5729" s="403">
        <v>5.6662767230670399E+20</v>
      </c>
    </row>
    <row r="5730" spans="1:2" ht="12.9" x14ac:dyDescent="0.35">
      <c r="A5730" s="401">
        <v>45549</v>
      </c>
      <c r="B5730" s="403">
        <v>6.40335336997007E+20</v>
      </c>
    </row>
    <row r="5731" spans="1:2" ht="12.9" x14ac:dyDescent="0.35">
      <c r="A5731" s="401">
        <v>45550</v>
      </c>
      <c r="B5731" s="403">
        <v>6.9561608551473506E+20</v>
      </c>
    </row>
    <row r="5732" spans="1:2" ht="12.9" x14ac:dyDescent="0.35">
      <c r="A5732" s="401">
        <v>45551</v>
      </c>
      <c r="B5732" s="403">
        <v>5.7584113039299202E+20</v>
      </c>
    </row>
    <row r="5733" spans="1:2" ht="12.9" x14ac:dyDescent="0.35">
      <c r="A5733" s="401">
        <v>45552</v>
      </c>
      <c r="B5733" s="403">
        <v>6.9100935647159098E+20</v>
      </c>
    </row>
    <row r="5734" spans="1:2" ht="12.9" x14ac:dyDescent="0.35">
      <c r="A5734" s="401">
        <v>45553</v>
      </c>
      <c r="B5734" s="403">
        <v>6.3572860795386397E+20</v>
      </c>
    </row>
    <row r="5735" spans="1:2" ht="12.9" x14ac:dyDescent="0.35">
      <c r="A5735" s="401">
        <v>45554</v>
      </c>
      <c r="B5735" s="403">
        <v>5.6202094326355997E+20</v>
      </c>
    </row>
    <row r="5736" spans="1:2" ht="12.9" x14ac:dyDescent="0.35">
      <c r="A5736" s="401">
        <v>45555</v>
      </c>
      <c r="B5736" s="403">
        <v>6.6797571125587096E+20</v>
      </c>
    </row>
    <row r="5737" spans="1:2" ht="12.9" x14ac:dyDescent="0.35">
      <c r="A5737" s="401">
        <v>45556</v>
      </c>
      <c r="B5737" s="403">
        <v>6.2190842082443198E+20</v>
      </c>
    </row>
    <row r="5738" spans="1:2" ht="12.9" x14ac:dyDescent="0.35">
      <c r="A5738" s="401">
        <v>45557</v>
      </c>
      <c r="B5738" s="403">
        <v>6.2651514986757593E+20</v>
      </c>
    </row>
    <row r="5739" spans="1:2" ht="12.9" x14ac:dyDescent="0.35">
      <c r="A5739" s="401">
        <v>45558</v>
      </c>
      <c r="B5739" s="403">
        <v>6.7258244029901505E+20</v>
      </c>
    </row>
    <row r="5740" spans="1:2" ht="12.9" x14ac:dyDescent="0.35">
      <c r="A5740" s="401">
        <v>45559</v>
      </c>
      <c r="B5740" s="403">
        <v>6.6797571125587096E+20</v>
      </c>
    </row>
    <row r="5741" spans="1:2" ht="12.9" x14ac:dyDescent="0.35">
      <c r="A5741" s="401">
        <v>45560</v>
      </c>
      <c r="B5741" s="403">
        <v>6.6336898221272701E+20</v>
      </c>
    </row>
    <row r="5742" spans="1:2" ht="12.9" x14ac:dyDescent="0.35">
      <c r="A5742" s="401">
        <v>45561</v>
      </c>
      <c r="B5742" s="403">
        <v>5.7129886818012699E+20</v>
      </c>
    </row>
    <row r="5743" spans="1:2" ht="12.9" x14ac:dyDescent="0.35">
      <c r="A5743" s="401">
        <v>45562</v>
      </c>
      <c r="B5743" s="403">
        <v>6.0206111492828797E+20</v>
      </c>
    </row>
    <row r="5744" spans="1:2" ht="12.9" x14ac:dyDescent="0.35">
      <c r="A5744" s="401">
        <v>45563</v>
      </c>
      <c r="B5744" s="403">
        <v>5.6690426150181798E+20</v>
      </c>
    </row>
    <row r="5745" spans="1:2" ht="12.9" x14ac:dyDescent="0.35">
      <c r="A5745" s="401">
        <v>45564</v>
      </c>
      <c r="B5745" s="403">
        <v>6.8116403513784402E+20</v>
      </c>
    </row>
    <row r="5746" spans="1:2" ht="12.9" x14ac:dyDescent="0.35">
      <c r="A5746" s="401">
        <v>45565</v>
      </c>
      <c r="B5746" s="403">
        <v>6.0206111492828797E+20</v>
      </c>
    </row>
    <row r="5747" spans="1:2" ht="12.9" x14ac:dyDescent="0.35">
      <c r="A5747" s="401">
        <v>45566</v>
      </c>
      <c r="B5747" s="403">
        <v>6.8995324849446099E+20</v>
      </c>
    </row>
    <row r="5748" spans="1:2" ht="12.9" x14ac:dyDescent="0.35">
      <c r="A5748" s="401">
        <v>45567</v>
      </c>
      <c r="B5748" s="403">
        <v>6.8116403513784402E+20</v>
      </c>
    </row>
    <row r="5749" spans="1:2" ht="12.9" x14ac:dyDescent="0.35">
      <c r="A5749" s="401">
        <v>45568</v>
      </c>
      <c r="B5749" s="403">
        <v>6.9434785517276994E+20</v>
      </c>
    </row>
    <row r="5750" spans="1:2" ht="12.9" x14ac:dyDescent="0.35">
      <c r="A5750" s="401">
        <v>45569</v>
      </c>
      <c r="B5750" s="403">
        <v>7.4268852863416494E+20</v>
      </c>
    </row>
    <row r="5751" spans="1:2" ht="12.9" x14ac:dyDescent="0.35">
      <c r="A5751" s="401">
        <v>45570</v>
      </c>
      <c r="B5751" s="403">
        <v>6.6358560842460902E+20</v>
      </c>
    </row>
    <row r="5752" spans="1:2" ht="12.9" x14ac:dyDescent="0.35">
      <c r="A5752" s="401">
        <v>45571</v>
      </c>
      <c r="B5752" s="403">
        <v>6.6798021510291797E+20</v>
      </c>
    </row>
    <row r="5753" spans="1:2" ht="12.9" x14ac:dyDescent="0.35">
      <c r="A5753" s="401">
        <v>45572</v>
      </c>
      <c r="B5753" s="403">
        <v>6.8116403513784402E+20</v>
      </c>
    </row>
    <row r="5754" spans="1:2" ht="12.9" x14ac:dyDescent="0.35">
      <c r="A5754" s="401">
        <v>45573</v>
      </c>
      <c r="B5754" s="403">
        <v>7.3389931527754796E+20</v>
      </c>
    </row>
    <row r="5755" spans="1:2" ht="12.9" x14ac:dyDescent="0.35">
      <c r="A5755" s="401">
        <v>45574</v>
      </c>
      <c r="B5755" s="403">
        <v>5.8112789086651803E+20</v>
      </c>
    </row>
    <row r="5756" spans="1:2" ht="12.9" x14ac:dyDescent="0.35">
      <c r="A5756" s="401">
        <v>45575</v>
      </c>
      <c r="B5756" s="403">
        <v>7.0925057546701098E+20</v>
      </c>
    </row>
    <row r="5757" spans="1:2" ht="12.9" x14ac:dyDescent="0.35">
      <c r="A5757" s="401">
        <v>45576</v>
      </c>
      <c r="B5757" s="403">
        <v>6.4061342300246101E+20</v>
      </c>
    </row>
    <row r="5758" spans="1:2" ht="12.9" x14ac:dyDescent="0.35">
      <c r="A5758" s="401">
        <v>45577</v>
      </c>
      <c r="B5758" s="403">
        <v>6.5434085349537101E+20</v>
      </c>
    </row>
    <row r="5759" spans="1:2" ht="12.9" x14ac:dyDescent="0.35">
      <c r="A5759" s="401">
        <v>45578</v>
      </c>
      <c r="B5759" s="403">
        <v>6.31461802673855E+20</v>
      </c>
    </row>
    <row r="5760" spans="1:2" ht="12.9" x14ac:dyDescent="0.35">
      <c r="A5760" s="401">
        <v>45579</v>
      </c>
      <c r="B5760" s="403">
        <v>6.3603761283815794E+20</v>
      </c>
    </row>
    <row r="5761" spans="1:2" ht="12.9" x14ac:dyDescent="0.35">
      <c r="A5761" s="401">
        <v>45580</v>
      </c>
      <c r="B5761" s="403">
        <v>7.1382638563131405E+20</v>
      </c>
    </row>
    <row r="5762" spans="1:2" ht="12.9" x14ac:dyDescent="0.35">
      <c r="A5762" s="401">
        <v>45581</v>
      </c>
      <c r="B5762" s="403">
        <v>6.45189233166765E+20</v>
      </c>
    </row>
    <row r="5763" spans="1:2" ht="12.9" x14ac:dyDescent="0.35">
      <c r="A5763" s="401">
        <v>45582</v>
      </c>
      <c r="B5763" s="403">
        <v>7.1840219579561699E+20</v>
      </c>
    </row>
    <row r="5764" spans="1:2" ht="12.9" x14ac:dyDescent="0.35">
      <c r="A5764" s="401">
        <v>45583</v>
      </c>
      <c r="B5764" s="403">
        <v>6.2231018234524795E+20</v>
      </c>
    </row>
    <row r="5765" spans="1:2" ht="12.9" x14ac:dyDescent="0.35">
      <c r="A5765" s="401">
        <v>45584</v>
      </c>
      <c r="B5765" s="403">
        <v>7.9161515842447003E+20</v>
      </c>
    </row>
    <row r="5766" spans="1:2" ht="12.9" x14ac:dyDescent="0.35">
      <c r="A5766" s="401">
        <v>45585</v>
      </c>
      <c r="B5766" s="403">
        <v>7.9161515842447003E+20</v>
      </c>
    </row>
    <row r="5767" spans="1:2" ht="12.9" x14ac:dyDescent="0.35">
      <c r="A5767" s="401">
        <v>45586</v>
      </c>
      <c r="B5767" s="403">
        <v>7.8246353809586402E+20</v>
      </c>
    </row>
    <row r="5768" spans="1:2" ht="12.9" x14ac:dyDescent="0.35">
      <c r="A5768" s="401">
        <v>45587</v>
      </c>
      <c r="B5768" s="403">
        <v>6.31461802673855E+20</v>
      </c>
    </row>
    <row r="5769" spans="1:2" ht="12.9" x14ac:dyDescent="0.35">
      <c r="A5769" s="401">
        <v>45588</v>
      </c>
      <c r="B5769" s="403">
        <v>7.1814329827537794E+20</v>
      </c>
    </row>
    <row r="5770" spans="1:2" ht="12.9" x14ac:dyDescent="0.35">
      <c r="A5770" s="401">
        <v>45589</v>
      </c>
      <c r="B5770" s="403">
        <v>6.9911963474490399E+20</v>
      </c>
    </row>
    <row r="5771" spans="1:2" ht="12.9" x14ac:dyDescent="0.35">
      <c r="A5771" s="401">
        <v>45590</v>
      </c>
      <c r="B5771" s="403">
        <v>7.2765513004061399E+20</v>
      </c>
    </row>
    <row r="5772" spans="1:2" ht="12.9" x14ac:dyDescent="0.35">
      <c r="A5772" s="401">
        <v>45591</v>
      </c>
      <c r="B5772" s="403">
        <v>6.9436371886228596E+20</v>
      </c>
    </row>
    <row r="5773" spans="1:2" ht="12.9" x14ac:dyDescent="0.35">
      <c r="A5773" s="401">
        <v>45592</v>
      </c>
      <c r="B5773" s="403">
        <v>7.6570245710156202E+20</v>
      </c>
    </row>
    <row r="5774" spans="1:2" ht="12.9" x14ac:dyDescent="0.35">
      <c r="A5774" s="401">
        <v>45593</v>
      </c>
      <c r="B5774" s="403">
        <v>7.9899386827989005E+20</v>
      </c>
    </row>
    <row r="5775" spans="1:2" ht="12.9" x14ac:dyDescent="0.35">
      <c r="A5775" s="401">
        <v>45594</v>
      </c>
      <c r="B5775" s="403">
        <v>7.4667879357108794E+20</v>
      </c>
    </row>
    <row r="5776" spans="1:2" ht="12.9" x14ac:dyDescent="0.35">
      <c r="A5776" s="401">
        <v>45595</v>
      </c>
      <c r="B5776" s="403">
        <v>8.03749784162509E+20</v>
      </c>
    </row>
    <row r="5777" spans="1:2" ht="12.9" x14ac:dyDescent="0.35">
      <c r="A5777" s="401">
        <v>45596</v>
      </c>
      <c r="B5777" s="403">
        <v>7.5143470945370597E+20</v>
      </c>
    </row>
    <row r="5778" spans="1:2" ht="12.9" x14ac:dyDescent="0.35">
      <c r="A5778" s="401">
        <v>45597</v>
      </c>
      <c r="B5778" s="403">
        <v>7.2765513004061399E+20</v>
      </c>
    </row>
    <row r="5779" spans="1:2" ht="12.9" x14ac:dyDescent="0.35">
      <c r="A5779" s="401">
        <v>45598</v>
      </c>
      <c r="B5779" s="403">
        <v>6.7058413944919399E+20</v>
      </c>
    </row>
    <row r="5780" spans="1:2" ht="12.9" x14ac:dyDescent="0.35">
      <c r="A5780" s="401">
        <v>45599</v>
      </c>
      <c r="B5780" s="403">
        <v>6.2778089650562793E+20</v>
      </c>
    </row>
    <row r="5781" spans="1:2" ht="12.9" x14ac:dyDescent="0.35">
      <c r="A5781" s="401">
        <v>45600</v>
      </c>
      <c r="B5781" s="403">
        <v>7.1814329827537794E+20</v>
      </c>
    </row>
    <row r="5782" spans="1:2" ht="12.9" x14ac:dyDescent="0.35">
      <c r="A5782" s="401">
        <v>45601</v>
      </c>
      <c r="B5782" s="403">
        <v>7.0235198869232497E+20</v>
      </c>
    </row>
    <row r="5783" spans="1:2" ht="12.9" x14ac:dyDescent="0.35">
      <c r="A5783" s="401">
        <v>45602</v>
      </c>
      <c r="B5783" s="403">
        <v>7.7309247676205603E+20</v>
      </c>
    </row>
    <row r="5784" spans="1:2" ht="12.9" x14ac:dyDescent="0.35">
      <c r="A5784" s="401">
        <v>45603</v>
      </c>
      <c r="B5784" s="403">
        <v>7.8825115277699803E+20</v>
      </c>
    </row>
    <row r="5785" spans="1:2" ht="12.9" x14ac:dyDescent="0.35">
      <c r="A5785" s="401">
        <v>45604</v>
      </c>
      <c r="B5785" s="403">
        <v>7.1751066470726697E+20</v>
      </c>
    </row>
    <row r="5786" spans="1:2" ht="12.9" x14ac:dyDescent="0.35">
      <c r="A5786" s="401">
        <v>45605</v>
      </c>
      <c r="B5786" s="403">
        <v>7.0235198869232497E+20</v>
      </c>
    </row>
    <row r="5787" spans="1:2" ht="12.9" x14ac:dyDescent="0.35">
      <c r="A5787" s="401">
        <v>45606</v>
      </c>
      <c r="B5787" s="403">
        <v>7.4782801673715201E+20</v>
      </c>
    </row>
    <row r="5788" spans="1:2" ht="12.9" x14ac:dyDescent="0.35">
      <c r="A5788" s="401">
        <v>45607</v>
      </c>
      <c r="B5788" s="403">
        <v>6.8719331267738298E+20</v>
      </c>
    </row>
    <row r="5789" spans="1:2" ht="12.9" x14ac:dyDescent="0.35">
      <c r="A5789" s="401">
        <v>45608</v>
      </c>
      <c r="B5789" s="403">
        <v>7.3772223272718998E+20</v>
      </c>
    </row>
    <row r="5790" spans="1:2" ht="12.9" x14ac:dyDescent="0.35">
      <c r="A5790" s="401">
        <v>45609</v>
      </c>
      <c r="B5790" s="403">
        <v>6.9729909668734396E+20</v>
      </c>
    </row>
    <row r="5791" spans="1:2" ht="12.9" x14ac:dyDescent="0.35">
      <c r="A5791" s="401">
        <v>45610</v>
      </c>
      <c r="B5791" s="403">
        <v>6.4171728463255595E+20</v>
      </c>
    </row>
    <row r="5792" spans="1:2" ht="12.9" x14ac:dyDescent="0.35">
      <c r="A5792" s="401">
        <v>45611</v>
      </c>
      <c r="B5792" s="403">
        <v>7.5793380074711299E+20</v>
      </c>
    </row>
    <row r="5793" spans="1:2" ht="12.9" x14ac:dyDescent="0.35">
      <c r="A5793" s="401">
        <v>45612</v>
      </c>
      <c r="B5793" s="403">
        <v>7.9330404478197904E+20</v>
      </c>
    </row>
    <row r="5794" spans="1:2" ht="12.9" x14ac:dyDescent="0.35">
      <c r="A5794" s="401">
        <v>45613</v>
      </c>
      <c r="B5794" s="403">
        <v>7.5793380074711299E+20</v>
      </c>
    </row>
    <row r="5795" spans="1:2" ht="12.9" x14ac:dyDescent="0.35">
      <c r="A5795" s="401">
        <v>45614</v>
      </c>
      <c r="B5795" s="403">
        <v>7.8825115277699803E+20</v>
      </c>
    </row>
    <row r="5796" spans="1:2" ht="12.9" x14ac:dyDescent="0.35">
      <c r="A5796" s="401">
        <v>45615</v>
      </c>
      <c r="B5796" s="403">
        <v>8.8984595511589601E+20</v>
      </c>
    </row>
    <row r="5797" spans="1:2" ht="12.9" x14ac:dyDescent="0.35">
      <c r="A5797" s="401">
        <v>45616</v>
      </c>
      <c r="B5797" s="403">
        <v>7.4747060229735304E+20</v>
      </c>
    </row>
    <row r="5798" spans="1:2" ht="12.9" x14ac:dyDescent="0.35">
      <c r="A5798" s="401">
        <v>45617</v>
      </c>
      <c r="B5798" s="403">
        <v>7.3221610020965201E+20</v>
      </c>
    </row>
    <row r="5799" spans="1:2" ht="12.9" x14ac:dyDescent="0.35">
      <c r="A5799" s="401">
        <v>45618</v>
      </c>
      <c r="B5799" s="403">
        <v>7.2713126618041798E+20</v>
      </c>
    </row>
    <row r="5800" spans="1:2" ht="12.9" x14ac:dyDescent="0.35">
      <c r="A5800" s="401">
        <v>45619</v>
      </c>
      <c r="B5800" s="403">
        <v>7.0170709603425006E+20</v>
      </c>
    </row>
    <row r="5801" spans="1:2" ht="12.9" x14ac:dyDescent="0.35">
      <c r="A5801" s="401">
        <v>45620</v>
      </c>
      <c r="B5801" s="403">
        <v>6.81367759917315E+20</v>
      </c>
    </row>
    <row r="5802" spans="1:2" ht="12.9" x14ac:dyDescent="0.35">
      <c r="A5802" s="401">
        <v>45621</v>
      </c>
      <c r="B5802" s="403">
        <v>8.5933695094049394E+20</v>
      </c>
    </row>
    <row r="5803" spans="1:2" ht="12.9" x14ac:dyDescent="0.35">
      <c r="A5803" s="401">
        <v>45622</v>
      </c>
      <c r="B5803" s="403">
        <v>7.0679193006348304E+20</v>
      </c>
    </row>
    <row r="5804" spans="1:2" ht="12.9" x14ac:dyDescent="0.35">
      <c r="A5804" s="401">
        <v>45623</v>
      </c>
      <c r="B5804" s="403">
        <v>6.7628292588808097E+20</v>
      </c>
    </row>
    <row r="5805" spans="1:2" ht="12.9" x14ac:dyDescent="0.35">
      <c r="A5805" s="401">
        <v>45624</v>
      </c>
      <c r="B5805" s="403">
        <v>7.22046432151185E+20</v>
      </c>
    </row>
    <row r="5806" spans="1:2" ht="12.9" x14ac:dyDescent="0.35">
      <c r="A5806" s="401">
        <v>45625</v>
      </c>
      <c r="B5806" s="403">
        <v>6.1526491753727695E+20</v>
      </c>
    </row>
    <row r="5807" spans="1:2" ht="12.9" x14ac:dyDescent="0.35">
      <c r="A5807" s="401">
        <v>45626</v>
      </c>
      <c r="B5807" s="403">
        <v>8.3391278079432602E+20</v>
      </c>
    </row>
    <row r="5808" spans="1:2" ht="12.9" x14ac:dyDescent="0.35">
      <c r="A5808" s="401">
        <v>45627</v>
      </c>
      <c r="B5808" s="403">
        <v>8.0340377661892395E+20</v>
      </c>
    </row>
    <row r="5809" spans="1:2" ht="12.9" x14ac:dyDescent="0.35">
      <c r="A5809" s="401">
        <v>45628</v>
      </c>
      <c r="B5809" s="403">
        <v>6.4577392171267903E+20</v>
      </c>
    </row>
    <row r="5810" spans="1:2" ht="12.9" x14ac:dyDescent="0.35">
      <c r="A5810" s="401">
        <v>45629</v>
      </c>
      <c r="B5810" s="403">
        <v>8.1104207062737997E+20</v>
      </c>
    </row>
    <row r="5811" spans="1:2" ht="12.9" x14ac:dyDescent="0.35">
      <c r="A5811" s="401">
        <v>45630</v>
      </c>
      <c r="B5811" s="403">
        <v>7.5938334001417106E+20</v>
      </c>
    </row>
    <row r="5812" spans="1:2" ht="12.9" x14ac:dyDescent="0.35">
      <c r="A5812" s="401">
        <v>45631</v>
      </c>
      <c r="B5812" s="403">
        <v>8.00710324504738E+20</v>
      </c>
    </row>
    <row r="5813" spans="1:2" ht="12.9" x14ac:dyDescent="0.35">
      <c r="A5813" s="401">
        <v>45632</v>
      </c>
      <c r="B5813" s="403">
        <v>7.0255873633964104E+20</v>
      </c>
    </row>
    <row r="5814" spans="1:2" ht="12.9" x14ac:dyDescent="0.35">
      <c r="A5814" s="401">
        <v>45633</v>
      </c>
      <c r="B5814" s="403">
        <v>7.3355397470756694E+20</v>
      </c>
    </row>
    <row r="5815" spans="1:2" ht="12.9" x14ac:dyDescent="0.35">
      <c r="A5815" s="401">
        <v>45634</v>
      </c>
      <c r="B5815" s="403">
        <v>7.5421746695284995E+20</v>
      </c>
    </row>
    <row r="5816" spans="1:2" ht="12.9" x14ac:dyDescent="0.35">
      <c r="A5816" s="401">
        <v>45635</v>
      </c>
      <c r="B5816" s="403">
        <v>8.6270080124058901E+20</v>
      </c>
    </row>
    <row r="5817" spans="1:2" ht="12.9" x14ac:dyDescent="0.35">
      <c r="A5817" s="401">
        <v>45636</v>
      </c>
      <c r="B5817" s="403">
        <v>7.9554445144341794E+20</v>
      </c>
    </row>
    <row r="5818" spans="1:2" ht="12.9" x14ac:dyDescent="0.35">
      <c r="A5818" s="401">
        <v>45637</v>
      </c>
      <c r="B5818" s="403">
        <v>7.3355397470756694E+20</v>
      </c>
    </row>
    <row r="5819" spans="1:2" ht="12.9" x14ac:dyDescent="0.35">
      <c r="A5819" s="401">
        <v>45638</v>
      </c>
      <c r="B5819" s="403">
        <v>7.6454921307549204E+20</v>
      </c>
    </row>
    <row r="5820" spans="1:2" ht="12.9" x14ac:dyDescent="0.35">
      <c r="A5820" s="401">
        <v>45639</v>
      </c>
      <c r="B5820" s="403">
        <v>8.7819842042455196E+20</v>
      </c>
    </row>
    <row r="5821" spans="1:2" ht="12.9" x14ac:dyDescent="0.35">
      <c r="A5821" s="401">
        <v>45640</v>
      </c>
      <c r="B5821" s="403">
        <v>8.2137381675002194E+20</v>
      </c>
    </row>
    <row r="5822" spans="1:2" ht="12.9" x14ac:dyDescent="0.35">
      <c r="A5822" s="401">
        <v>45641</v>
      </c>
      <c r="B5822" s="403">
        <v>7.0772460940096202E+20</v>
      </c>
    </row>
    <row r="5823" spans="1:2" ht="12.9" x14ac:dyDescent="0.35">
      <c r="A5823" s="401">
        <v>45642</v>
      </c>
      <c r="B5823" s="403">
        <v>7.9841413103690698E+20</v>
      </c>
    </row>
    <row r="5824" spans="1:2" ht="12.9" x14ac:dyDescent="0.35">
      <c r="A5824" s="401">
        <v>45643</v>
      </c>
      <c r="B5824" s="403">
        <v>7.3367785014202296E+20</v>
      </c>
    </row>
    <row r="5825" spans="1:2" ht="12.9" x14ac:dyDescent="0.35">
      <c r="A5825" s="401">
        <v>45644</v>
      </c>
      <c r="B5825" s="403">
        <v>7.7683537073861204E+20</v>
      </c>
    </row>
    <row r="5826" spans="1:2" ht="12.9" x14ac:dyDescent="0.35">
      <c r="A5826" s="401">
        <v>45645</v>
      </c>
      <c r="B5826" s="403">
        <v>7.8223006081318597E+20</v>
      </c>
    </row>
    <row r="5827" spans="1:2" ht="12.9" x14ac:dyDescent="0.35">
      <c r="A5827" s="401">
        <v>45646</v>
      </c>
      <c r="B5827" s="403">
        <v>8.1459820126062798E+20</v>
      </c>
    </row>
    <row r="5828" spans="1:2" ht="12.9" x14ac:dyDescent="0.35">
      <c r="A5828" s="401">
        <v>45647</v>
      </c>
      <c r="B5828" s="403">
        <v>7.8223006081318597E+20</v>
      </c>
    </row>
    <row r="5829" spans="1:2" ht="12.9" x14ac:dyDescent="0.35">
      <c r="A5829" s="401">
        <v>45648</v>
      </c>
      <c r="B5829" s="403">
        <v>8.3617696155892305E+20</v>
      </c>
    </row>
    <row r="5830" spans="1:2" ht="12.9" x14ac:dyDescent="0.35">
      <c r="A5830" s="401">
        <v>45649</v>
      </c>
      <c r="B5830" s="403">
        <v>7.4986192036574396E+20</v>
      </c>
    </row>
    <row r="5831" spans="1:2" ht="12.9" x14ac:dyDescent="0.35">
      <c r="A5831" s="401">
        <v>45650</v>
      </c>
      <c r="B5831" s="403">
        <v>7.1209908984372802E+20</v>
      </c>
    </row>
    <row r="5832" spans="1:2" ht="12.9" x14ac:dyDescent="0.35">
      <c r="A5832" s="401">
        <v>45651</v>
      </c>
      <c r="B5832" s="403">
        <v>8.1459820126062798E+20</v>
      </c>
    </row>
    <row r="5833" spans="1:2" ht="12.9" x14ac:dyDescent="0.35">
      <c r="A5833" s="401">
        <v>45652</v>
      </c>
      <c r="B5833" s="403">
        <v>7.0670439976915396E+20</v>
      </c>
    </row>
    <row r="5834" spans="1:2" ht="12.9" x14ac:dyDescent="0.35">
      <c r="A5834" s="401">
        <v>45653</v>
      </c>
      <c r="B5834" s="403">
        <v>8.5236103178264406E+20</v>
      </c>
    </row>
    <row r="5835" spans="1:2" ht="12.9" x14ac:dyDescent="0.35">
      <c r="A5835" s="401">
        <v>45654</v>
      </c>
      <c r="B5835" s="403">
        <v>7.7144068066403903E+20</v>
      </c>
    </row>
    <row r="5836" spans="1:2" ht="12.9" x14ac:dyDescent="0.35">
      <c r="A5836" s="401">
        <v>45655</v>
      </c>
      <c r="B5836" s="403">
        <v>8.5236103178264406E+20</v>
      </c>
    </row>
    <row r="5837" spans="1:2" ht="12.9" x14ac:dyDescent="0.35">
      <c r="A5837" s="401">
        <v>45656</v>
      </c>
      <c r="B5837" s="403">
        <v>8.6771015598499103E+20</v>
      </c>
    </row>
    <row r="5838" spans="1:2" ht="12.9" x14ac:dyDescent="0.35">
      <c r="A5838" s="401">
        <v>45657</v>
      </c>
      <c r="B5838" s="403">
        <v>7.0399125862933201E+20</v>
      </c>
    </row>
    <row r="5839" spans="1:2" ht="12.9" x14ac:dyDescent="0.35">
      <c r="A5839" s="401">
        <v>45658</v>
      </c>
      <c r="B5839" s="403">
        <v>7.6402152099307402E+20</v>
      </c>
    </row>
    <row r="5840" spans="1:2" ht="12.9" x14ac:dyDescent="0.35">
      <c r="A5840" s="401">
        <v>45659</v>
      </c>
      <c r="B5840" s="403">
        <v>9.1136852861316694E+20</v>
      </c>
    </row>
    <row r="5841" spans="1:2" ht="12.9" x14ac:dyDescent="0.35">
      <c r="A5841" s="401">
        <v>45660</v>
      </c>
      <c r="B5841" s="403">
        <v>7.74936114150118E+20</v>
      </c>
    </row>
    <row r="5842" spans="1:2" ht="12.9" x14ac:dyDescent="0.35">
      <c r="A5842" s="401">
        <v>45661</v>
      </c>
      <c r="B5842" s="403">
        <v>8.1313719019977205E+20</v>
      </c>
    </row>
    <row r="5843" spans="1:2" ht="12.9" x14ac:dyDescent="0.35">
      <c r="A5843" s="401">
        <v>45662</v>
      </c>
      <c r="B5843" s="403">
        <v>8.5133826624942598E+20</v>
      </c>
    </row>
    <row r="5844" spans="1:2" ht="12.9" x14ac:dyDescent="0.35">
      <c r="A5844" s="401">
        <v>45663</v>
      </c>
      <c r="B5844" s="403">
        <v>7.2582044494341997E+20</v>
      </c>
    </row>
    <row r="5845" spans="1:2" ht="12.9" x14ac:dyDescent="0.35">
      <c r="A5845" s="401">
        <v>45664</v>
      </c>
      <c r="B5845" s="403">
        <v>7.3127774152194195E+20</v>
      </c>
    </row>
    <row r="5846" spans="1:2" ht="12.9" x14ac:dyDescent="0.35">
      <c r="A5846" s="401">
        <v>45665</v>
      </c>
      <c r="B5846" s="403">
        <v>6.8216207231524497E+20</v>
      </c>
    </row>
    <row r="5847" spans="1:2" ht="12.9" x14ac:dyDescent="0.35">
      <c r="A5847" s="401">
        <v>45666</v>
      </c>
      <c r="B5847" s="403">
        <v>8.2950907993533802E+20</v>
      </c>
    </row>
    <row r="5848" spans="1:2" ht="12.9" x14ac:dyDescent="0.35">
      <c r="A5848" s="401">
        <v>45667</v>
      </c>
      <c r="B5848" s="403">
        <v>7.74936114150118E+20</v>
      </c>
    </row>
    <row r="5849" spans="1:2" ht="12.9" x14ac:dyDescent="0.35">
      <c r="A5849" s="401">
        <v>45668</v>
      </c>
      <c r="B5849" s="403">
        <v>7.5310692783603004E+20</v>
      </c>
    </row>
    <row r="5850" spans="1:2" ht="12.9" x14ac:dyDescent="0.35">
      <c r="A5850" s="401">
        <v>45669</v>
      </c>
      <c r="B5850" s="403">
        <v>9.3865501150577702E+20</v>
      </c>
    </row>
    <row r="5851" spans="1:2" ht="12.9" x14ac:dyDescent="0.35">
      <c r="A5851" s="401">
        <v>45670</v>
      </c>
      <c r="B5851" s="403">
        <v>7.0279604437768995E+20</v>
      </c>
    </row>
    <row r="5852" spans="1:2" ht="12.9" x14ac:dyDescent="0.35">
      <c r="A5852" s="401">
        <v>45671</v>
      </c>
      <c r="B5852" s="403">
        <v>8.4555149089190799E+20</v>
      </c>
    </row>
    <row r="5853" spans="1:2" ht="12.9" x14ac:dyDescent="0.35">
      <c r="A5853" s="401">
        <v>45672</v>
      </c>
      <c r="B5853" s="403">
        <v>7.6319257944139694E+20</v>
      </c>
    </row>
    <row r="5854" spans="1:2" ht="12.9" x14ac:dyDescent="0.35">
      <c r="A5854" s="401">
        <v>45673</v>
      </c>
      <c r="B5854" s="403">
        <v>7.0279604437768995E+20</v>
      </c>
    </row>
    <row r="5855" spans="1:2" ht="12.9" x14ac:dyDescent="0.35">
      <c r="A5855" s="401">
        <v>45674</v>
      </c>
      <c r="B5855" s="403">
        <v>8.2358911450510498E+20</v>
      </c>
    </row>
    <row r="5856" spans="1:2" ht="12.9" x14ac:dyDescent="0.35">
      <c r="A5856" s="401">
        <v>45675</v>
      </c>
      <c r="B5856" s="403">
        <v>7.1377723257109099E+20</v>
      </c>
    </row>
    <row r="5857" spans="1:2" ht="12.9" x14ac:dyDescent="0.35">
      <c r="A5857" s="401">
        <v>45676</v>
      </c>
      <c r="B5857" s="403">
        <v>8.2358911450510498E+20</v>
      </c>
    </row>
    <row r="5858" spans="1:2" ht="12.9" x14ac:dyDescent="0.35">
      <c r="A5858" s="401">
        <v>45677</v>
      </c>
      <c r="B5858" s="403">
        <v>8.3457030269850694E+20</v>
      </c>
    </row>
    <row r="5859" spans="1:2" ht="12.9" x14ac:dyDescent="0.35">
      <c r="A5859" s="401">
        <v>45678</v>
      </c>
      <c r="B5859" s="403">
        <v>7.3024901486119302E+20</v>
      </c>
    </row>
    <row r="5860" spans="1:2" ht="12.9" x14ac:dyDescent="0.35">
      <c r="A5860" s="401">
        <v>45679</v>
      </c>
      <c r="B5860" s="403">
        <v>8.2358911450510498E+20</v>
      </c>
    </row>
    <row r="5861" spans="1:2" ht="12.9" x14ac:dyDescent="0.35">
      <c r="A5861" s="401">
        <v>45680</v>
      </c>
      <c r="B5861" s="403">
        <v>7.4672079715129505E+20</v>
      </c>
    </row>
    <row r="5862" spans="1:2" ht="12.9" x14ac:dyDescent="0.35">
      <c r="A5862" s="401">
        <v>45681</v>
      </c>
      <c r="B5862" s="403">
        <v>7.6868317353809805E+20</v>
      </c>
    </row>
    <row r="5863" spans="1:2" ht="12.9" x14ac:dyDescent="0.35">
      <c r="A5863" s="401">
        <v>45682</v>
      </c>
      <c r="B5863" s="403">
        <v>7.0279604437768995E+20</v>
      </c>
    </row>
    <row r="5864" spans="1:2" ht="12.9" x14ac:dyDescent="0.35">
      <c r="A5864" s="401">
        <v>45683</v>
      </c>
      <c r="B5864" s="403">
        <v>7.5221139124799603E+20</v>
      </c>
    </row>
    <row r="5865" spans="1:2" ht="12.9" x14ac:dyDescent="0.35">
      <c r="A5865" s="401">
        <v>45684</v>
      </c>
      <c r="B5865" s="403">
        <v>8.3833624131977504E+20</v>
      </c>
    </row>
    <row r="5866" spans="1:2" ht="12.9" x14ac:dyDescent="0.35">
      <c r="A5866" s="401">
        <v>45685</v>
      </c>
      <c r="B5866" s="403">
        <v>7.9534463920081194E+20</v>
      </c>
    </row>
    <row r="5867" spans="1:2" ht="12.9" x14ac:dyDescent="0.35">
      <c r="A5867" s="401">
        <v>45686</v>
      </c>
      <c r="B5867" s="403">
        <v>8.32962291054905E+20</v>
      </c>
    </row>
    <row r="5868" spans="1:2" ht="12.9" x14ac:dyDescent="0.35">
      <c r="A5868" s="401">
        <v>45687</v>
      </c>
      <c r="B5868" s="403">
        <v>7.7922278840620102E+20</v>
      </c>
    </row>
    <row r="5869" spans="1:2" ht="12.9" x14ac:dyDescent="0.35">
      <c r="A5869" s="401">
        <v>45688</v>
      </c>
      <c r="B5869" s="403">
        <v>6.7174378310879399E+20</v>
      </c>
    </row>
    <row r="5870" spans="1:2" ht="12.9" x14ac:dyDescent="0.35">
      <c r="A5870" s="401">
        <v>45689</v>
      </c>
      <c r="B5870" s="403">
        <v>9.8880684873614505E+20</v>
      </c>
    </row>
    <row r="5871" spans="1:2" ht="12.9" x14ac:dyDescent="0.35">
      <c r="A5871" s="401">
        <v>45690</v>
      </c>
      <c r="B5871" s="403">
        <v>9.1894549529283094E+20</v>
      </c>
    </row>
    <row r="5872" spans="1:2" ht="12.9" x14ac:dyDescent="0.35">
      <c r="A5872" s="401">
        <v>45691</v>
      </c>
      <c r="B5872" s="403">
        <v>8.22214390525164E+20</v>
      </c>
    </row>
    <row r="5873" spans="1:2" ht="12.9" x14ac:dyDescent="0.35">
      <c r="A5873" s="401">
        <v>45692</v>
      </c>
      <c r="B5873" s="403">
        <v>7.0398748469801596E+20</v>
      </c>
    </row>
    <row r="5874" spans="1:2" ht="12.9" x14ac:dyDescent="0.35">
      <c r="A5874" s="401">
        <v>45693</v>
      </c>
      <c r="B5874" s="403">
        <v>7.7384883814133098E+20</v>
      </c>
    </row>
    <row r="5875" spans="1:2" ht="12.9" x14ac:dyDescent="0.35">
      <c r="A5875" s="401">
        <v>45694</v>
      </c>
      <c r="B5875" s="403">
        <v>7.7922278840620102E+20</v>
      </c>
    </row>
    <row r="5876" spans="1:2" ht="12.9" x14ac:dyDescent="0.35">
      <c r="A5876" s="401">
        <v>45695</v>
      </c>
      <c r="B5876" s="403">
        <v>9.2969339582257103E+20</v>
      </c>
    </row>
    <row r="5877" spans="1:2" ht="12.9" x14ac:dyDescent="0.35">
      <c r="A5877" s="401">
        <v>45696</v>
      </c>
      <c r="B5877" s="403">
        <v>8.59832042379256E+20</v>
      </c>
    </row>
    <row r="5878" spans="1:2" ht="12.9" x14ac:dyDescent="0.35">
      <c r="A5878" s="401">
        <v>45697</v>
      </c>
      <c r="B5878" s="403">
        <v>8.1156587085739E+20</v>
      </c>
    </row>
    <row r="5879" spans="1:2" ht="12.9" x14ac:dyDescent="0.35">
      <c r="A5879" s="401">
        <v>45698</v>
      </c>
      <c r="B5879" s="403">
        <v>7.88864727616624E+20</v>
      </c>
    </row>
    <row r="5880" spans="1:2" ht="12.9" x14ac:dyDescent="0.35">
      <c r="A5880" s="401">
        <v>45699</v>
      </c>
      <c r="B5880" s="403">
        <v>7.0373544046375102E+20</v>
      </c>
    </row>
    <row r="5881" spans="1:2" ht="12.9" x14ac:dyDescent="0.35">
      <c r="A5881" s="401">
        <v>45700</v>
      </c>
      <c r="B5881" s="403">
        <v>7.5481301275547494E+20</v>
      </c>
    </row>
    <row r="5882" spans="1:2" ht="12.9" x14ac:dyDescent="0.35">
      <c r="A5882" s="401">
        <v>45701</v>
      </c>
      <c r="B5882" s="403">
        <v>8.9669515801026298E+20</v>
      </c>
    </row>
    <row r="5883" spans="1:2" ht="12.9" x14ac:dyDescent="0.35">
      <c r="A5883" s="401">
        <v>45702</v>
      </c>
      <c r="B5883" s="403">
        <v>8.6264344314911405E+20</v>
      </c>
    </row>
    <row r="5884" spans="1:2" ht="12.9" x14ac:dyDescent="0.35">
      <c r="A5884" s="401">
        <v>45703</v>
      </c>
      <c r="B5884" s="403">
        <v>9.0804572963064604E+20</v>
      </c>
    </row>
    <row r="5885" spans="1:2" ht="12.9" x14ac:dyDescent="0.35">
      <c r="A5885" s="401">
        <v>45704</v>
      </c>
      <c r="B5885" s="403">
        <v>8.5696815733892199E+20</v>
      </c>
    </row>
    <row r="5886" spans="1:2" ht="12.9" x14ac:dyDescent="0.35">
      <c r="A5886" s="401">
        <v>45705</v>
      </c>
      <c r="B5886" s="403">
        <v>7.7751415599624094E+20</v>
      </c>
    </row>
    <row r="5887" spans="1:2" ht="12.9" x14ac:dyDescent="0.35">
      <c r="A5887" s="401">
        <v>45706</v>
      </c>
      <c r="B5887" s="403">
        <v>7.9454001342681501E+20</v>
      </c>
    </row>
    <row r="5888" spans="1:2" ht="12.9" x14ac:dyDescent="0.35">
      <c r="A5888" s="401">
        <v>45707</v>
      </c>
      <c r="B5888" s="403">
        <v>7.1508601208413395E+20</v>
      </c>
    </row>
    <row r="5889" spans="1:2" ht="12.9" x14ac:dyDescent="0.35">
      <c r="A5889" s="401">
        <v>45708</v>
      </c>
      <c r="B5889" s="403">
        <v>7.3778715532489995E+20</v>
      </c>
    </row>
    <row r="5890" spans="1:2" ht="12.9" x14ac:dyDescent="0.35">
      <c r="A5890" s="401">
        <v>45709</v>
      </c>
      <c r="B5890" s="403">
        <v>7.3211186951470803E+20</v>
      </c>
    </row>
    <row r="5891" spans="1:2" ht="12.9" x14ac:dyDescent="0.35">
      <c r="A5891" s="401">
        <v>45710</v>
      </c>
      <c r="B5891" s="403">
        <v>7.88864727616624E+20</v>
      </c>
    </row>
    <row r="5892" spans="1:2" ht="12.9" x14ac:dyDescent="0.35">
      <c r="A5892" s="401">
        <v>45711</v>
      </c>
      <c r="B5892" s="403">
        <v>7.3211186951470803E+20</v>
      </c>
    </row>
    <row r="5893" spans="1:2" ht="12.9" x14ac:dyDescent="0.35">
      <c r="A5893" s="401">
        <v>45712</v>
      </c>
      <c r="B5893" s="403">
        <v>7.1453022983741401E+20</v>
      </c>
    </row>
    <row r="5894" spans="1:2" ht="12.9" x14ac:dyDescent="0.35">
      <c r="A5894" s="401">
        <v>45713</v>
      </c>
      <c r="B5894" s="403">
        <v>8.0796879835461504E+20</v>
      </c>
    </row>
    <row r="5895" spans="1:2" ht="12.9" x14ac:dyDescent="0.35">
      <c r="A5895" s="401">
        <v>45714</v>
      </c>
      <c r="B5895" s="403">
        <v>8.6293266218826203E+20</v>
      </c>
    </row>
    <row r="5896" spans="1:2" ht="12.9" x14ac:dyDescent="0.35">
      <c r="A5896" s="401">
        <v>45715</v>
      </c>
      <c r="B5896" s="403">
        <v>8.2445795750470903E+20</v>
      </c>
    </row>
    <row r="5897" spans="1:2" ht="12.9" x14ac:dyDescent="0.35">
      <c r="A5897" s="401">
        <v>45716</v>
      </c>
      <c r="B5897" s="403">
        <v>8.5743627580489794E+20</v>
      </c>
    </row>
    <row r="5898" spans="1:2" ht="12.9" x14ac:dyDescent="0.35">
      <c r="A5898" s="401">
        <v>45717</v>
      </c>
      <c r="B5898" s="403">
        <v>7.9147963920452105E+20</v>
      </c>
    </row>
    <row r="5899" spans="1:2" ht="12.9" x14ac:dyDescent="0.35">
      <c r="A5899" s="401">
        <v>45718</v>
      </c>
      <c r="B5899" s="403">
        <v>6.9254468430395605E+20</v>
      </c>
    </row>
    <row r="5900" spans="1:2" ht="12.9" x14ac:dyDescent="0.35">
      <c r="A5900" s="401">
        <v>45719</v>
      </c>
      <c r="B5900" s="403">
        <v>8.2445795750470903E+20</v>
      </c>
    </row>
    <row r="5901" spans="1:2" ht="12.9" x14ac:dyDescent="0.35">
      <c r="A5901" s="401">
        <v>45720</v>
      </c>
      <c r="B5901" s="403">
        <v>8.0247241197125003E+20</v>
      </c>
    </row>
    <row r="5902" spans="1:2" ht="12.9" x14ac:dyDescent="0.35">
      <c r="A5902" s="401">
        <v>45721</v>
      </c>
      <c r="B5902" s="403">
        <v>7.3651577537087301E+20</v>
      </c>
    </row>
    <row r="5903" spans="1:2" ht="12.9" x14ac:dyDescent="0.35">
      <c r="A5903" s="401">
        <v>45722</v>
      </c>
      <c r="B5903" s="403">
        <v>9.3438568517200406E+20</v>
      </c>
    </row>
    <row r="5904" spans="1:2" ht="12.9" x14ac:dyDescent="0.35">
      <c r="A5904" s="401">
        <v>45723</v>
      </c>
      <c r="B5904" s="403">
        <v>7.8048686643779102E+20</v>
      </c>
    </row>
    <row r="5905" spans="1:2" ht="12.9" x14ac:dyDescent="0.35">
      <c r="A5905" s="401">
        <v>45724</v>
      </c>
      <c r="B5905" s="403">
        <v>7.5300493452096805E+20</v>
      </c>
    </row>
    <row r="5906" spans="1:2" ht="12.9" x14ac:dyDescent="0.35">
      <c r="A5906" s="401">
        <v>45725</v>
      </c>
      <c r="B5906" s="403">
        <v>8.7392543495499206E+20</v>
      </c>
    </row>
    <row r="5907" spans="1:2" ht="12.9" x14ac:dyDescent="0.35">
      <c r="A5907" s="401">
        <v>45726</v>
      </c>
      <c r="B5907" s="403">
        <v>8.5854724218825697E+20</v>
      </c>
    </row>
    <row r="5908" spans="1:2" ht="12.9" x14ac:dyDescent="0.35">
      <c r="A5908" s="401">
        <v>45727</v>
      </c>
      <c r="B5908" s="403">
        <v>7.6934752871415205E+20</v>
      </c>
    </row>
    <row r="5909" spans="1:2" ht="12.9" x14ac:dyDescent="0.35">
      <c r="A5909" s="401">
        <v>45728</v>
      </c>
      <c r="B5909" s="403">
        <v>8.5297226009612504E+20</v>
      </c>
    </row>
    <row r="5910" spans="1:2" ht="12.9" x14ac:dyDescent="0.35">
      <c r="A5910" s="401">
        <v>45729</v>
      </c>
      <c r="B5910" s="403">
        <v>8.8642215264891503E+20</v>
      </c>
    </row>
    <row r="5911" spans="1:2" ht="12.9" x14ac:dyDescent="0.35">
      <c r="A5911" s="401">
        <v>45730</v>
      </c>
      <c r="B5911" s="403">
        <v>7.9164745708267897E+20</v>
      </c>
    </row>
    <row r="5912" spans="1:2" ht="12.9" x14ac:dyDescent="0.35">
      <c r="A5912" s="401">
        <v>45731</v>
      </c>
      <c r="B5912" s="403">
        <v>7.3589763616136298E+20</v>
      </c>
    </row>
    <row r="5913" spans="1:2" ht="12.9" x14ac:dyDescent="0.35">
      <c r="A5913" s="401">
        <v>45732</v>
      </c>
      <c r="B5913" s="403">
        <v>8.0837240335907304E+20</v>
      </c>
    </row>
    <row r="5914" spans="1:2" ht="12.9" x14ac:dyDescent="0.35">
      <c r="A5914" s="401">
        <v>45733</v>
      </c>
      <c r="B5914" s="403">
        <v>7.8049749289841499E+20</v>
      </c>
    </row>
    <row r="5915" spans="1:2" ht="12.9" x14ac:dyDescent="0.35">
      <c r="A5915" s="401">
        <v>45734</v>
      </c>
      <c r="B5915" s="403">
        <v>7.9164745708267897E+20</v>
      </c>
    </row>
    <row r="5916" spans="1:2" ht="12.9" x14ac:dyDescent="0.35">
      <c r="A5916" s="401">
        <v>45735</v>
      </c>
      <c r="B5916" s="403">
        <v>8.4739727800399403E+20</v>
      </c>
    </row>
    <row r="5917" spans="1:2" ht="12.9" x14ac:dyDescent="0.35">
      <c r="A5917" s="401">
        <v>45736</v>
      </c>
      <c r="B5917" s="403">
        <v>7.9164745708267897E+20</v>
      </c>
    </row>
    <row r="5918" spans="1:2" ht="12.9" x14ac:dyDescent="0.35">
      <c r="A5918" s="401">
        <v>45737</v>
      </c>
      <c r="B5918" s="403">
        <v>8.0837240335907304E+20</v>
      </c>
    </row>
    <row r="5919" spans="1:2" ht="12.9" x14ac:dyDescent="0.35">
      <c r="A5919" s="401">
        <v>45738</v>
      </c>
      <c r="B5919" s="403">
        <v>8.3624731381973097E+20</v>
      </c>
    </row>
    <row r="5920" spans="1:2" ht="12.9" x14ac:dyDescent="0.35">
      <c r="A5920" s="401">
        <v>45739</v>
      </c>
      <c r="B5920" s="403">
        <v>8.8216696391967297E+20</v>
      </c>
    </row>
    <row r="5921" spans="1:2" ht="12.9" x14ac:dyDescent="0.35">
      <c r="A5921" s="401">
        <v>45740</v>
      </c>
      <c r="B5921" s="403">
        <v>8.7085713104890796E+20</v>
      </c>
    </row>
    <row r="5922" spans="1:2" ht="12.9" x14ac:dyDescent="0.35">
      <c r="A5922" s="401">
        <v>45741</v>
      </c>
      <c r="B5922" s="403">
        <v>8.4258254887199506E+20</v>
      </c>
    </row>
    <row r="5923" spans="1:2" ht="12.9" x14ac:dyDescent="0.35">
      <c r="A5923" s="401">
        <v>45742</v>
      </c>
      <c r="B5923" s="403">
        <v>8.5954729817814296E+20</v>
      </c>
    </row>
    <row r="5924" spans="1:2" ht="12.9" x14ac:dyDescent="0.35">
      <c r="A5924" s="401">
        <v>45743</v>
      </c>
      <c r="B5924" s="403">
        <v>8.3692763243661296E+20</v>
      </c>
    </row>
    <row r="5925" spans="1:2" ht="12.9" x14ac:dyDescent="0.35">
      <c r="A5925" s="401">
        <v>45744</v>
      </c>
      <c r="B5925" s="403">
        <v>8.7085713104890796E+20</v>
      </c>
    </row>
    <row r="5926" spans="1:2" ht="12.9" x14ac:dyDescent="0.35">
      <c r="A5926" s="401">
        <v>45745</v>
      </c>
      <c r="B5926" s="403">
        <v>7.9734321738893505E+20</v>
      </c>
    </row>
    <row r="5927" spans="1:2" ht="12.9" x14ac:dyDescent="0.35">
      <c r="A5927" s="401">
        <v>45746</v>
      </c>
      <c r="B5927" s="403">
        <v>7.7472355164740505E+20</v>
      </c>
    </row>
    <row r="5928" spans="1:2" ht="12.9" x14ac:dyDescent="0.35">
      <c r="A5928" s="401">
        <v>45747</v>
      </c>
      <c r="B5928" s="403">
        <v>8.3692763243661296E+20</v>
      </c>
    </row>
    <row r="5929" spans="1:2" ht="12.9" x14ac:dyDescent="0.35">
      <c r="A5929" s="401">
        <v>45748</v>
      </c>
      <c r="B5929" s="403">
        <v>7.6341371877664005E+20</v>
      </c>
    </row>
    <row r="5930" spans="1:2" ht="12.9" x14ac:dyDescent="0.35">
      <c r="A5930" s="401">
        <v>45749</v>
      </c>
      <c r="B5930" s="403">
        <v>9.7264562688579299E+20</v>
      </c>
    </row>
    <row r="5931" spans="1:2" ht="12.9" x14ac:dyDescent="0.35">
      <c r="A5931" s="401">
        <v>45750</v>
      </c>
      <c r="B5931" s="403">
        <v>8.5954729817814296E+20</v>
      </c>
    </row>
    <row r="5932" spans="1:2" ht="12.9" x14ac:dyDescent="0.35">
      <c r="A5932" s="401">
        <v>45751</v>
      </c>
      <c r="B5932" s="404">
        <v>1.01788495836885E+21</v>
      </c>
    </row>
    <row r="5933" spans="1:2" ht="12.9" x14ac:dyDescent="0.35">
      <c r="A5933" s="401">
        <v>45752</v>
      </c>
      <c r="B5933" s="403">
        <v>9.2740629540273298E+20</v>
      </c>
    </row>
    <row r="5934" spans="1:2" ht="12.9" x14ac:dyDescent="0.35">
      <c r="A5934" s="401">
        <v>45753</v>
      </c>
      <c r="B5934" s="403">
        <v>8.7582684800974704E+20</v>
      </c>
    </row>
    <row r="5935" spans="1:2" ht="12.9" x14ac:dyDescent="0.35">
      <c r="A5935" s="401">
        <v>45754</v>
      </c>
      <c r="B5935" s="403">
        <v>8.7582684800974704E+20</v>
      </c>
    </row>
    <row r="5936" spans="1:2" ht="12.9" x14ac:dyDescent="0.35">
      <c r="A5936" s="401">
        <v>45755</v>
      </c>
      <c r="B5936" s="403">
        <v>9.2414832927924997E+20</v>
      </c>
    </row>
    <row r="5937" spans="1:2" ht="12.9" x14ac:dyDescent="0.35">
      <c r="A5937" s="401">
        <v>45756</v>
      </c>
      <c r="B5937" s="403">
        <v>7.9126425578811595E+20</v>
      </c>
    </row>
    <row r="5938" spans="1:2" ht="12.9" x14ac:dyDescent="0.35">
      <c r="A5938" s="401">
        <v>45757</v>
      </c>
      <c r="B5938" s="403">
        <v>8.6978666285105899E+20</v>
      </c>
    </row>
    <row r="5939" spans="1:2" ht="12.9" x14ac:dyDescent="0.35">
      <c r="A5939" s="401">
        <v>45758</v>
      </c>
      <c r="B5939" s="403">
        <v>8.9394740348581105E+20</v>
      </c>
    </row>
    <row r="5940" spans="1:2" ht="12.9" x14ac:dyDescent="0.35">
      <c r="A5940" s="401">
        <v>45759</v>
      </c>
      <c r="B5940" s="403">
        <v>8.6978666285105899E+20</v>
      </c>
    </row>
    <row r="5941" spans="1:2" ht="12.9" x14ac:dyDescent="0.35">
      <c r="A5941" s="401">
        <v>45760</v>
      </c>
      <c r="B5941" s="404">
        <v>1.03891184729432E+21</v>
      </c>
    </row>
    <row r="5942" spans="1:2" ht="12.9" x14ac:dyDescent="0.35">
      <c r="A5942" s="401">
        <v>45761</v>
      </c>
      <c r="B5942" s="403">
        <v>8.9998758864449896E+20</v>
      </c>
    </row>
    <row r="5943" spans="1:2" ht="12.9" x14ac:dyDescent="0.35">
      <c r="A5943" s="401">
        <v>45762</v>
      </c>
      <c r="B5943" s="403">
        <v>8.6978666285105899E+20</v>
      </c>
    </row>
    <row r="5944" spans="1:2" ht="12.9" x14ac:dyDescent="0.35">
      <c r="A5944" s="401">
        <v>45763</v>
      </c>
      <c r="B5944" s="403">
        <v>8.9394740348581105E+20</v>
      </c>
    </row>
    <row r="5945" spans="1:2" ht="12.9" x14ac:dyDescent="0.35">
      <c r="A5945" s="401">
        <v>45764</v>
      </c>
      <c r="B5945" s="403">
        <v>9.2414832927924997E+20</v>
      </c>
    </row>
    <row r="5946" spans="1:2" ht="12.9" x14ac:dyDescent="0.35">
      <c r="A5946" s="401">
        <v>45765</v>
      </c>
      <c r="B5946" s="403">
        <v>8.2146518158155606E+20</v>
      </c>
    </row>
    <row r="5947" spans="1:2" ht="12.9" x14ac:dyDescent="0.35">
      <c r="A5947" s="401">
        <v>45766</v>
      </c>
      <c r="B5947" s="403">
        <v>8.5151603690343996E+20</v>
      </c>
    </row>
    <row r="5948" spans="1:2" ht="12.9" x14ac:dyDescent="0.35">
      <c r="A5948" s="401">
        <v>45767</v>
      </c>
      <c r="B5948" s="403">
        <v>7.5349980243973505E+20</v>
      </c>
    </row>
    <row r="5949" spans="1:2" ht="12.9" x14ac:dyDescent="0.35">
      <c r="A5949" s="401">
        <v>45768</v>
      </c>
      <c r="B5949" s="403">
        <v>7.7187784640168002E+20</v>
      </c>
    </row>
    <row r="5950" spans="1:2" ht="12.9" x14ac:dyDescent="0.35">
      <c r="A5950" s="401">
        <v>45769</v>
      </c>
      <c r="B5950" s="403">
        <v>9.4953227136714605E+20</v>
      </c>
    </row>
    <row r="5951" spans="1:2" ht="12.9" x14ac:dyDescent="0.35">
      <c r="A5951" s="401">
        <v>45770</v>
      </c>
      <c r="B5951" s="403">
        <v>6.9836567055390094E+20</v>
      </c>
    </row>
    <row r="5952" spans="1:2" ht="12.9" x14ac:dyDescent="0.35">
      <c r="A5952" s="401">
        <v>45771</v>
      </c>
      <c r="B5952" s="403">
        <v>8.6376806621140301E+20</v>
      </c>
    </row>
    <row r="5953" spans="1:2" ht="12.9" x14ac:dyDescent="0.35">
      <c r="A5953" s="401">
        <v>45772</v>
      </c>
      <c r="B5953" s="403">
        <v>8.8214611017334797E+20</v>
      </c>
    </row>
    <row r="5954" spans="1:2" ht="12.9" x14ac:dyDescent="0.35">
      <c r="A5954" s="401">
        <v>45773</v>
      </c>
      <c r="B5954" s="403">
        <v>8.1475994897955095E+20</v>
      </c>
    </row>
    <row r="5955" spans="1:2" ht="12.9" x14ac:dyDescent="0.35">
      <c r="A5955" s="401">
        <v>45774</v>
      </c>
      <c r="B5955" s="403">
        <v>8.2701197828751399E+20</v>
      </c>
    </row>
    <row r="5956" spans="1:2" ht="12.9" x14ac:dyDescent="0.35">
      <c r="A5956" s="401">
        <v>45775</v>
      </c>
      <c r="B5956" s="403">
        <v>8.6376806621140301E+20</v>
      </c>
    </row>
    <row r="5957" spans="1:2" ht="12.9" x14ac:dyDescent="0.35">
      <c r="A5957" s="401">
        <v>45776</v>
      </c>
      <c r="B5957" s="403">
        <v>8.9439813948131194E+20</v>
      </c>
    </row>
    <row r="5958" spans="1:2" ht="12.9" x14ac:dyDescent="0.35">
      <c r="A5958" s="401">
        <v>45777</v>
      </c>
      <c r="B5958" s="403">
        <v>8.0863393432556903E+20</v>
      </c>
    </row>
    <row r="5959" spans="1:2" ht="12.9" x14ac:dyDescent="0.35">
      <c r="A5959" s="401">
        <v>45778</v>
      </c>
      <c r="B5959" s="403">
        <v>8.2701197828751399E+20</v>
      </c>
    </row>
    <row r="5960" spans="1:2" ht="12.9" x14ac:dyDescent="0.35">
      <c r="A5960" s="401">
        <v>45779</v>
      </c>
      <c r="B5960" s="403">
        <v>9.7403632998307201E+20</v>
      </c>
    </row>
    <row r="5961" spans="1:2" ht="12.9" x14ac:dyDescent="0.35">
      <c r="A5961" s="401">
        <v>45780</v>
      </c>
      <c r="B5961" s="404">
        <v>1.00466640325298E+21</v>
      </c>
    </row>
    <row r="5962" spans="1:2" ht="12.9" x14ac:dyDescent="0.35">
      <c r="A5962" s="401">
        <v>45781</v>
      </c>
      <c r="B5962" s="403">
        <v>8.2306087071585796E+20</v>
      </c>
    </row>
    <row r="5963" spans="1:2" ht="12.9" x14ac:dyDescent="0.35">
      <c r="A5963" s="401">
        <v>45782</v>
      </c>
      <c r="B5963" s="404">
        <v>1.03622771493003E+21</v>
      </c>
    </row>
    <row r="5964" spans="1:2" ht="12.9" x14ac:dyDescent="0.35">
      <c r="A5964" s="401">
        <v>45783</v>
      </c>
      <c r="B5964" s="403">
        <v>8.1713956948768601E+20</v>
      </c>
    </row>
    <row r="5965" spans="1:2" ht="12.9" x14ac:dyDescent="0.35">
      <c r="A5965" s="401">
        <v>45784</v>
      </c>
      <c r="B5965" s="403">
        <v>8.9411648545391706E+20</v>
      </c>
    </row>
    <row r="5966" spans="1:2" ht="12.9" x14ac:dyDescent="0.35">
      <c r="A5966" s="401">
        <v>45785</v>
      </c>
      <c r="B5966" s="403">
        <v>9.4148689527929006E+20</v>
      </c>
    </row>
    <row r="5967" spans="1:2" ht="12.9" x14ac:dyDescent="0.35">
      <c r="A5967" s="401">
        <v>45786</v>
      </c>
      <c r="B5967" s="403">
        <v>8.28982171944029E+20</v>
      </c>
    </row>
    <row r="5968" spans="1:2" ht="12.9" x14ac:dyDescent="0.35">
      <c r="A5968" s="401">
        <v>45787</v>
      </c>
      <c r="B5968" s="403">
        <v>8.8819518422574498E+20</v>
      </c>
    </row>
    <row r="5969" spans="1:2" ht="12.9" x14ac:dyDescent="0.35">
      <c r="A5969" s="401">
        <v>45788</v>
      </c>
      <c r="B5969" s="403">
        <v>8.8227388299757394E+20</v>
      </c>
    </row>
    <row r="5970" spans="1:2" ht="12.9" x14ac:dyDescent="0.35">
      <c r="A5970" s="401">
        <v>45789</v>
      </c>
      <c r="B5970" s="403">
        <v>8.5858867808488705E+20</v>
      </c>
    </row>
    <row r="5971" spans="1:2" ht="12.9" x14ac:dyDescent="0.35">
      <c r="A5971" s="401">
        <v>45790</v>
      </c>
      <c r="B5971" s="403">
        <v>7.6976915966231301E+20</v>
      </c>
    </row>
    <row r="5972" spans="1:2" ht="12.9" x14ac:dyDescent="0.35">
      <c r="A5972" s="401">
        <v>45791</v>
      </c>
      <c r="B5972" s="403">
        <v>8.5266737685671602E+20</v>
      </c>
    </row>
    <row r="5973" spans="1:2" ht="12.9" x14ac:dyDescent="0.35">
      <c r="A5973" s="401">
        <v>45792</v>
      </c>
      <c r="B5973" s="403">
        <v>8.64509979313059E+20</v>
      </c>
    </row>
    <row r="5974" spans="1:2" ht="12.9" x14ac:dyDescent="0.35">
      <c r="A5974" s="401">
        <v>45793</v>
      </c>
      <c r="B5974" s="403">
        <v>8.0529696703134302E+20</v>
      </c>
    </row>
    <row r="5975" spans="1:2" ht="12.9" x14ac:dyDescent="0.35">
      <c r="A5975" s="401">
        <v>45794</v>
      </c>
      <c r="B5975" s="403">
        <v>8.4674607562854393E+20</v>
      </c>
    </row>
    <row r="5976" spans="1:2" ht="12.9" x14ac:dyDescent="0.35">
      <c r="A5976" s="401">
        <v>45795</v>
      </c>
      <c r="B5976" s="403">
        <v>9.7972325129981093E+20</v>
      </c>
    </row>
    <row r="5977" spans="1:2" ht="12.9" x14ac:dyDescent="0.35">
      <c r="A5977" s="401">
        <v>45796</v>
      </c>
      <c r="B5977" s="403">
        <v>8.5272208909427999E+20</v>
      </c>
    </row>
    <row r="5978" spans="1:2" ht="12.9" x14ac:dyDescent="0.35">
      <c r="A5978" s="401">
        <v>45797</v>
      </c>
      <c r="B5978" s="403">
        <v>8.9505580982945697E+20</v>
      </c>
    </row>
    <row r="5979" spans="1:2" ht="12.9" x14ac:dyDescent="0.35">
      <c r="A5979" s="401">
        <v>45798</v>
      </c>
      <c r="B5979" s="403">
        <v>8.7086511226649798E+20</v>
      </c>
    </row>
    <row r="5980" spans="1:2" ht="12.9" x14ac:dyDescent="0.35">
      <c r="A5980" s="401">
        <v>45799</v>
      </c>
      <c r="B5980" s="403">
        <v>9.0715115861093594E+20</v>
      </c>
    </row>
    <row r="5981" spans="1:2" ht="12.9" x14ac:dyDescent="0.35">
      <c r="A5981" s="401">
        <v>45800</v>
      </c>
      <c r="B5981" s="403">
        <v>9.3738953056463395E+20</v>
      </c>
    </row>
    <row r="5982" spans="1:2" ht="12.9" x14ac:dyDescent="0.35">
      <c r="A5982" s="401">
        <v>45801</v>
      </c>
      <c r="B5982" s="403">
        <v>8.5272208909427999E+20</v>
      </c>
    </row>
    <row r="5983" spans="1:2" ht="12.9" x14ac:dyDescent="0.35">
      <c r="A5983" s="401">
        <v>45802</v>
      </c>
      <c r="B5983" s="403">
        <v>9.1319883300167496E+20</v>
      </c>
    </row>
    <row r="5984" spans="1:2" ht="12.9" x14ac:dyDescent="0.35">
      <c r="A5984" s="401">
        <v>45803</v>
      </c>
      <c r="B5984" s="403">
        <v>9.2529418178315407E+20</v>
      </c>
    </row>
    <row r="5985" spans="1:2" ht="12.9" x14ac:dyDescent="0.35">
      <c r="A5985" s="401">
        <v>45804</v>
      </c>
      <c r="B5985" s="403">
        <v>8.5272208909427999E+20</v>
      </c>
    </row>
    <row r="5986" spans="1:2" ht="12.9" x14ac:dyDescent="0.35">
      <c r="A5986" s="401">
        <v>45805</v>
      </c>
      <c r="B5986" s="403">
        <v>9.9181860008129004E+20</v>
      </c>
    </row>
    <row r="5987" spans="1:2" ht="12.9" x14ac:dyDescent="0.35">
      <c r="A5987" s="401">
        <v>45806</v>
      </c>
      <c r="B5987" s="403">
        <v>9.6158022812759202E+20</v>
      </c>
    </row>
    <row r="5988" spans="1:2" ht="12.9" x14ac:dyDescent="0.35">
      <c r="A5988" s="401">
        <v>45807</v>
      </c>
      <c r="B5988" s="403">
        <v>9.3738953056463395E+20</v>
      </c>
    </row>
    <row r="5989" spans="1:2" ht="12.9" x14ac:dyDescent="0.35">
      <c r="A5989" s="401">
        <v>45808</v>
      </c>
      <c r="B5989" s="404">
        <v>1.01628410488777E+21</v>
      </c>
    </row>
    <row r="5990" spans="1:2" ht="12.9" x14ac:dyDescent="0.35">
      <c r="A5990" s="401">
        <v>45809</v>
      </c>
      <c r="B5990" s="403">
        <v>8.3953904316816504E+20</v>
      </c>
    </row>
    <row r="5991" spans="1:2" ht="12.9" x14ac:dyDescent="0.35">
      <c r="A5991" s="401">
        <v>45810</v>
      </c>
      <c r="B5991" s="403">
        <v>8.3953904316816504E+20</v>
      </c>
    </row>
    <row r="5992" spans="1:2" ht="12.9" x14ac:dyDescent="0.35">
      <c r="A5992" s="401">
        <v>45811</v>
      </c>
      <c r="B5992" s="403">
        <v>9.0897460312944201E+20</v>
      </c>
    </row>
    <row r="5993" spans="1:2" ht="12.9" x14ac:dyDescent="0.35">
      <c r="A5993" s="401">
        <v>45812</v>
      </c>
      <c r="B5993" s="403">
        <v>7.9535277773826202E+20</v>
      </c>
    </row>
    <row r="5994" spans="1:2" ht="12.9" x14ac:dyDescent="0.35">
      <c r="A5994" s="401">
        <v>45813</v>
      </c>
      <c r="B5994" s="403">
        <v>8.4585136680100902E+20</v>
      </c>
    </row>
    <row r="5995" spans="1:2" ht="12.9" x14ac:dyDescent="0.35">
      <c r="A5995" s="401">
        <v>45814</v>
      </c>
      <c r="B5995" s="403">
        <v>8.4585136680100902E+20</v>
      </c>
    </row>
    <row r="5996" spans="1:2" ht="12.9" x14ac:dyDescent="0.35">
      <c r="A5996" s="401">
        <v>45815</v>
      </c>
      <c r="B5996" s="403">
        <v>9.0266227949659895E+20</v>
      </c>
    </row>
    <row r="5997" spans="1:2" ht="12.9" x14ac:dyDescent="0.35">
      <c r="A5997" s="401">
        <v>45816</v>
      </c>
      <c r="B5997" s="403">
        <v>9.6578551582503194E+20</v>
      </c>
    </row>
    <row r="5998" spans="1:2" ht="12.9" x14ac:dyDescent="0.35">
      <c r="A5998" s="401">
        <v>45817</v>
      </c>
      <c r="B5998" s="403">
        <v>8.8372530859806897E+20</v>
      </c>
    </row>
    <row r="5999" spans="1:2" ht="12.9" x14ac:dyDescent="0.35">
      <c r="A5999" s="401">
        <v>45818</v>
      </c>
      <c r="B5999" s="404">
        <v>1.06678269395052E+21</v>
      </c>
    </row>
    <row r="6000" spans="1:2" ht="12.9" x14ac:dyDescent="0.35">
      <c r="A6000" s="401">
        <v>45819</v>
      </c>
      <c r="B6000" s="403">
        <v>8.9003763223091203E+20</v>
      </c>
    </row>
    <row r="6001" spans="1:2" ht="12.9" x14ac:dyDescent="0.35">
      <c r="A6001" s="401">
        <v>45820</v>
      </c>
      <c r="B6001" s="403">
        <v>9.3422389766081597E+20</v>
      </c>
    </row>
    <row r="6002" spans="1:2" ht="12.9" x14ac:dyDescent="0.35">
      <c r="A6002" s="401">
        <v>45821</v>
      </c>
      <c r="B6002" s="403">
        <v>9.1528692676228599E+20</v>
      </c>
    </row>
    <row r="6003" spans="1:2" ht="12.9" x14ac:dyDescent="0.35">
      <c r="A6003" s="401">
        <v>45822</v>
      </c>
      <c r="B6003" s="403">
        <v>9.4887594264054596E+20</v>
      </c>
    </row>
    <row r="6004" spans="1:2" ht="12.9" x14ac:dyDescent="0.35">
      <c r="A6004" s="401">
        <v>45823</v>
      </c>
      <c r="B6004" s="403">
        <v>8.5461674304049198E+20</v>
      </c>
    </row>
    <row r="6005" spans="1:2" ht="12.9" x14ac:dyDescent="0.35">
      <c r="A6005" s="401">
        <v>45824</v>
      </c>
      <c r="B6005" s="403">
        <v>9.1745620944052801E+20</v>
      </c>
    </row>
    <row r="6006" spans="1:2" ht="12.9" x14ac:dyDescent="0.35">
      <c r="A6006" s="401">
        <v>45825</v>
      </c>
      <c r="B6006" s="403">
        <v>7.41505703520426E+20</v>
      </c>
    </row>
    <row r="6007" spans="1:2" ht="12.9" x14ac:dyDescent="0.35">
      <c r="A6007" s="401">
        <v>45826</v>
      </c>
      <c r="B6007" s="403">
        <v>8.7975252960050597E+20</v>
      </c>
    </row>
    <row r="6008" spans="1:2" ht="12.9" x14ac:dyDescent="0.35">
      <c r="A6008" s="401">
        <v>45827</v>
      </c>
      <c r="B6008" s="403">
        <v>7.9806122328045899E+20</v>
      </c>
    </row>
    <row r="6009" spans="1:2" ht="12.9" x14ac:dyDescent="0.35">
      <c r="A6009" s="401">
        <v>45828</v>
      </c>
      <c r="B6009" s="403">
        <v>9.4887594264054596E+20</v>
      </c>
    </row>
    <row r="6010" spans="1:2" ht="12.9" x14ac:dyDescent="0.35">
      <c r="A6010" s="401">
        <v>45829</v>
      </c>
      <c r="B6010" s="403">
        <v>8.8603647624050901E+20</v>
      </c>
    </row>
    <row r="6011" spans="1:2" ht="12.9" x14ac:dyDescent="0.35">
      <c r="A6011" s="401">
        <v>45830</v>
      </c>
      <c r="B6011" s="403">
        <v>6.7238229048038706E+20</v>
      </c>
    </row>
    <row r="6012" spans="1:2" ht="12.9" x14ac:dyDescent="0.35">
      <c r="A6012" s="401">
        <v>45831</v>
      </c>
      <c r="B6012" s="403">
        <v>6.7238229048038706E+20</v>
      </c>
    </row>
    <row r="6013" spans="1:2" ht="12.9" x14ac:dyDescent="0.35">
      <c r="A6013" s="401">
        <v>45832</v>
      </c>
      <c r="B6013" s="403">
        <v>7.3522175688042296E+20</v>
      </c>
    </row>
    <row r="6014" spans="1:2" ht="12.9" x14ac:dyDescent="0.35">
      <c r="A6014" s="401">
        <v>45833</v>
      </c>
      <c r="B6014" s="403">
        <v>8.9860436952051705E+20</v>
      </c>
    </row>
    <row r="6015" spans="1:2" ht="12.9" x14ac:dyDescent="0.35">
      <c r="A6015" s="401">
        <v>45834</v>
      </c>
      <c r="B6015" s="403">
        <v>9.8657962248056694E+20</v>
      </c>
    </row>
    <row r="6016" spans="1:2" ht="12.9" x14ac:dyDescent="0.35">
      <c r="A6016" s="401">
        <v>45835</v>
      </c>
      <c r="B6016" s="403">
        <v>7.2265386360041505E+20</v>
      </c>
    </row>
    <row r="6017" spans="1:2" ht="12.9" x14ac:dyDescent="0.35">
      <c r="A6017" s="401">
        <v>45836</v>
      </c>
      <c r="B6017" s="403">
        <v>9.1117226280052405E+20</v>
      </c>
    </row>
    <row r="6018" spans="1:2" ht="12.9" x14ac:dyDescent="0.35">
      <c r="A6018" s="401">
        <v>45837</v>
      </c>
      <c r="B6018" s="403">
        <v>9.8257261938906798E+20</v>
      </c>
    </row>
    <row r="6019" spans="1:2" ht="12.9" x14ac:dyDescent="0.35">
      <c r="A6019" s="401">
        <v>45838</v>
      </c>
      <c r="B6019" s="403">
        <v>8.4303567935748401E+20</v>
      </c>
    </row>
    <row r="6020" spans="1:2" ht="12.9" x14ac:dyDescent="0.35">
      <c r="A6020" s="401">
        <v>45839</v>
      </c>
      <c r="B6020" s="403">
        <v>7.7908124850967504E+20</v>
      </c>
    </row>
    <row r="6021" spans="1:2" ht="12.9" x14ac:dyDescent="0.35">
      <c r="A6021" s="401">
        <v>45840</v>
      </c>
      <c r="B6021" s="403">
        <v>8.8954799270134494E+20</v>
      </c>
    </row>
    <row r="6022" spans="1:2" ht="12.9" x14ac:dyDescent="0.35">
      <c r="A6022" s="401">
        <v>45841</v>
      </c>
      <c r="B6022" s="403">
        <v>8.7791991436537994E+20</v>
      </c>
    </row>
    <row r="6023" spans="1:2" ht="12.9" x14ac:dyDescent="0.35">
      <c r="A6023" s="401">
        <v>45842</v>
      </c>
      <c r="B6023" s="403">
        <v>9.24432227709241E+20</v>
      </c>
    </row>
    <row r="6024" spans="1:2" ht="12.9" x14ac:dyDescent="0.35">
      <c r="A6024" s="401">
        <v>45843</v>
      </c>
      <c r="B6024" s="403">
        <v>9.12804149373276E+20</v>
      </c>
    </row>
    <row r="6025" spans="1:2" ht="12.9" x14ac:dyDescent="0.35">
      <c r="A6025" s="401">
        <v>45844</v>
      </c>
      <c r="B6025" s="403">
        <v>9.3024626687722403E+20</v>
      </c>
    </row>
    <row r="6026" spans="1:2" ht="12.9" x14ac:dyDescent="0.35">
      <c r="A6026" s="401">
        <v>45845</v>
      </c>
      <c r="B6026" s="403">
        <v>8.7791991436537994E+20</v>
      </c>
    </row>
    <row r="6027" spans="1:2" ht="12.9" x14ac:dyDescent="0.35">
      <c r="A6027" s="401">
        <v>45846</v>
      </c>
      <c r="B6027" s="403">
        <v>8.2559356185353598E+20</v>
      </c>
    </row>
    <row r="6028" spans="1:2" ht="12.9" x14ac:dyDescent="0.35">
      <c r="A6028" s="401">
        <v>45847</v>
      </c>
      <c r="B6028" s="403">
        <v>9.5350242354915403E+20</v>
      </c>
    </row>
    <row r="6029" spans="1:2" ht="12.9" x14ac:dyDescent="0.35">
      <c r="A6029" s="401">
        <v>45848</v>
      </c>
      <c r="B6029" s="403">
        <v>9.9420069772503299E+20</v>
      </c>
    </row>
    <row r="6030" spans="1:2" ht="12.9" x14ac:dyDescent="0.35">
      <c r="A6030" s="401">
        <v>45849</v>
      </c>
      <c r="B6030" s="403">
        <v>8.7210587519739704E+20</v>
      </c>
    </row>
    <row r="6031" spans="1:2" ht="12.9" x14ac:dyDescent="0.35">
      <c r="A6031" s="401">
        <v>45850</v>
      </c>
      <c r="B6031" s="403">
        <v>9.3526974381451497E+20</v>
      </c>
    </row>
    <row r="6032" spans="1:2" ht="12.9" x14ac:dyDescent="0.35">
      <c r="A6032" s="401">
        <v>45851</v>
      </c>
      <c r="B6032" s="403">
        <v>8.5994600605764105E+20</v>
      </c>
    </row>
    <row r="6033" spans="1:2" ht="12.9" x14ac:dyDescent="0.35">
      <c r="A6033" s="401">
        <v>45852</v>
      </c>
      <c r="B6033" s="403">
        <v>9.1016183122889094E+20</v>
      </c>
    </row>
    <row r="6034" spans="1:2" ht="12.9" x14ac:dyDescent="0.35">
      <c r="A6034" s="401">
        <v>45853</v>
      </c>
      <c r="B6034" s="404">
        <v>1.0294244160106001E+21</v>
      </c>
    </row>
    <row r="6035" spans="1:2" ht="12.9" x14ac:dyDescent="0.35">
      <c r="A6035" s="401">
        <v>45854</v>
      </c>
      <c r="B6035" s="403">
        <v>8.2228413717920494E+20</v>
      </c>
    </row>
    <row r="6036" spans="1:2" ht="12.9" x14ac:dyDescent="0.35">
      <c r="A6036" s="401">
        <v>45855</v>
      </c>
      <c r="B6036" s="403">
        <v>8.5366902791123501E+20</v>
      </c>
    </row>
    <row r="6037" spans="1:2" ht="12.9" x14ac:dyDescent="0.35">
      <c r="A6037" s="401">
        <v>45856</v>
      </c>
      <c r="B6037" s="403">
        <v>9.0388485308248398E+20</v>
      </c>
    </row>
    <row r="6038" spans="1:2" ht="12.9" x14ac:dyDescent="0.35">
      <c r="A6038" s="401">
        <v>45857</v>
      </c>
      <c r="B6038" s="403">
        <v>8.9133089678967203E+20</v>
      </c>
    </row>
    <row r="6039" spans="1:2" ht="12.9" x14ac:dyDescent="0.35">
      <c r="A6039" s="401">
        <v>45858</v>
      </c>
      <c r="B6039" s="403">
        <v>9.3526974381451497E+20</v>
      </c>
    </row>
    <row r="6040" spans="1:2" ht="12.9" x14ac:dyDescent="0.35">
      <c r="A6040" s="401">
        <v>45859</v>
      </c>
      <c r="B6040" s="403">
        <v>9.4154672196092101E+20</v>
      </c>
    </row>
    <row r="6041" spans="1:2" ht="12.9" x14ac:dyDescent="0.35">
      <c r="A6041" s="401">
        <v>45860</v>
      </c>
      <c r="B6041" s="403">
        <v>9.4154672196092101E+20</v>
      </c>
    </row>
    <row r="6042" spans="1:2" ht="12.9" x14ac:dyDescent="0.35">
      <c r="A6042" s="401">
        <v>45861</v>
      </c>
      <c r="B6042" s="403">
        <v>8.7877694049685996E+20</v>
      </c>
    </row>
    <row r="6043" spans="1:2" ht="12.9" x14ac:dyDescent="0.35">
      <c r="A6043" s="401">
        <v>45862</v>
      </c>
      <c r="B6043" s="403">
        <v>9.2271578752170302E+20</v>
      </c>
    </row>
    <row r="6044" spans="1:2" ht="12.9" x14ac:dyDescent="0.35">
      <c r="A6044" s="401">
        <v>45863</v>
      </c>
      <c r="B6044" s="404">
        <v>1.00431650342498E+21</v>
      </c>
    </row>
    <row r="6045" spans="1:2" ht="12.9" x14ac:dyDescent="0.35">
      <c r="A6045" s="401">
        <v>45864</v>
      </c>
      <c r="B6045" s="403">
        <v>9.7063642617973205E+20</v>
      </c>
    </row>
    <row r="6046" spans="1:2" ht="12.9" x14ac:dyDescent="0.35">
      <c r="A6046" s="401">
        <v>45865</v>
      </c>
      <c r="B6046" s="403">
        <v>8.6913196331126306E+20</v>
      </c>
    </row>
    <row r="6047" spans="1:2" ht="12.9" x14ac:dyDescent="0.35">
      <c r="A6047" s="401">
        <v>45866</v>
      </c>
      <c r="B6047" s="403">
        <v>9.1988419474549794E+20</v>
      </c>
    </row>
    <row r="6048" spans="1:2" ht="12.9" x14ac:dyDescent="0.35">
      <c r="A6048" s="401">
        <v>45867</v>
      </c>
      <c r="B6048" s="403">
        <v>7.1053124007928096E+20</v>
      </c>
    </row>
    <row r="6049" spans="1:2" ht="12.9" x14ac:dyDescent="0.35">
      <c r="A6049" s="401">
        <v>45868</v>
      </c>
      <c r="B6049" s="403">
        <v>8.6913196331126306E+20</v>
      </c>
    </row>
    <row r="6050" spans="1:2" ht="12.9" x14ac:dyDescent="0.35">
      <c r="A6050" s="401">
        <v>45869</v>
      </c>
      <c r="B6050" s="403">
        <v>9.7698045510901105E+20</v>
      </c>
    </row>
    <row r="6051" spans="1:2" ht="12.9" x14ac:dyDescent="0.35">
      <c r="A6051" s="401">
        <v>45870</v>
      </c>
      <c r="B6051" s="403">
        <v>9.57948368321173E+20</v>
      </c>
    </row>
    <row r="6052" spans="1:2" ht="12.9" x14ac:dyDescent="0.35">
      <c r="A6052" s="401">
        <v>45871</v>
      </c>
      <c r="B6052" s="403">
        <v>9.1988419474549794E+20</v>
      </c>
    </row>
    <row r="6053" spans="1:2" ht="12.9" x14ac:dyDescent="0.35">
      <c r="A6053" s="401">
        <v>45872</v>
      </c>
      <c r="B6053" s="403">
        <v>9.8332448403829096E+20</v>
      </c>
    </row>
    <row r="6054" spans="1:2" ht="12.9" x14ac:dyDescent="0.35">
      <c r="A6054" s="401">
        <v>45873</v>
      </c>
      <c r="B6054" s="404">
        <v>1.08482894690675E+21</v>
      </c>
    </row>
    <row r="6055" spans="1:2" ht="12.9" x14ac:dyDescent="0.35">
      <c r="A6055" s="401">
        <v>45874</v>
      </c>
      <c r="B6055" s="403">
        <v>8.7547599224054297E+20</v>
      </c>
    </row>
    <row r="6056" spans="1:2" ht="12.9" x14ac:dyDescent="0.35">
      <c r="A6056" s="401">
        <v>45875</v>
      </c>
      <c r="B6056" s="403">
        <v>9.1354016581621803E+20</v>
      </c>
    </row>
    <row r="6057" spans="1:2" ht="12.9" x14ac:dyDescent="0.35">
      <c r="A6057" s="401">
        <v>45876</v>
      </c>
      <c r="B6057" s="404">
        <v>1.02138865761396E+21</v>
      </c>
    </row>
    <row r="6058" spans="1:2" ht="12.9" x14ac:dyDescent="0.35">
      <c r="A6058" s="401">
        <v>45877</v>
      </c>
      <c r="B6058" s="403">
        <v>8.6913196331126306E+20</v>
      </c>
    </row>
    <row r="6059" spans="1:2" ht="12.9" x14ac:dyDescent="0.35">
      <c r="A6059" s="401">
        <v>45878</v>
      </c>
      <c r="B6059" s="403">
        <v>7.4637421339173401E+20</v>
      </c>
    </row>
    <row r="6060" spans="1:2" ht="12.9" x14ac:dyDescent="0.35">
      <c r="A6060" s="401">
        <v>45879</v>
      </c>
      <c r="B6060" s="403">
        <v>8.6862516213693206E+20</v>
      </c>
    </row>
    <row r="6061" spans="1:2" ht="12.9" x14ac:dyDescent="0.35">
      <c r="A6061" s="401">
        <v>45880</v>
      </c>
      <c r="B6061" s="403">
        <v>9.4583628766021406E+20</v>
      </c>
    </row>
    <row r="6062" spans="1:2" ht="12.9" x14ac:dyDescent="0.35">
      <c r="A6062" s="401">
        <v>45881</v>
      </c>
      <c r="B6062" s="403">
        <v>8.8149368305747899E+20</v>
      </c>
    </row>
    <row r="6063" spans="1:2" ht="12.9" x14ac:dyDescent="0.35">
      <c r="A6063" s="401">
        <v>45882</v>
      </c>
      <c r="B6063" s="404">
        <v>1.00374463180267E+21</v>
      </c>
    </row>
    <row r="6064" spans="1:2" ht="12.9" x14ac:dyDescent="0.35">
      <c r="A6064" s="401">
        <v>45883</v>
      </c>
      <c r="B6064" s="404">
        <v>1.04235019456431E+21</v>
      </c>
    </row>
    <row r="6065" spans="1:2" ht="12.9" x14ac:dyDescent="0.35">
      <c r="A6065" s="401">
        <v>45884</v>
      </c>
      <c r="B6065" s="403">
        <v>8.62190901676658E+20</v>
      </c>
    </row>
    <row r="6066" spans="1:2" ht="12.9" x14ac:dyDescent="0.35">
      <c r="A6066" s="401">
        <v>45885</v>
      </c>
      <c r="B6066" s="403">
        <v>9.7800758996158199E+20</v>
      </c>
    </row>
    <row r="6067" spans="1:2" ht="12.9" x14ac:dyDescent="0.35">
      <c r="A6067" s="401">
        <v>45886</v>
      </c>
      <c r="B6067" s="403">
        <v>9.7800758996158199E+20</v>
      </c>
    </row>
    <row r="6068" spans="1:2" ht="12.9" x14ac:dyDescent="0.35">
      <c r="A6068" s="401">
        <v>45887</v>
      </c>
      <c r="B6068" s="403">
        <v>9.9087611088212905E+20</v>
      </c>
    </row>
    <row r="6069" spans="1:2" ht="12.9" x14ac:dyDescent="0.35">
      <c r="A6069" s="401">
        <v>45888</v>
      </c>
      <c r="B6069" s="403">
        <v>8.62190901676658E+20</v>
      </c>
    </row>
    <row r="6070" spans="1:2" ht="12.9" x14ac:dyDescent="0.35">
      <c r="A6070" s="401">
        <v>45889</v>
      </c>
      <c r="B6070" s="403">
        <v>9.0723072489857299E+20</v>
      </c>
    </row>
    <row r="6071" spans="1:2" ht="12.9" x14ac:dyDescent="0.35">
      <c r="A6071" s="401">
        <v>45890</v>
      </c>
      <c r="B6071" s="403">
        <v>9.5870480858076204E+20</v>
      </c>
    </row>
    <row r="6072" spans="1:2" ht="12.9" x14ac:dyDescent="0.35">
      <c r="A6072" s="401">
        <v>45891</v>
      </c>
      <c r="B6072" s="403">
        <v>9.3940202719994105E+20</v>
      </c>
    </row>
    <row r="6073" spans="1:2" ht="12.9" x14ac:dyDescent="0.35">
      <c r="A6073" s="401">
        <v>45892</v>
      </c>
      <c r="B6073" s="403">
        <v>9.8000176961416698E+20</v>
      </c>
    </row>
    <row r="6074" spans="1:2" ht="12.9" x14ac:dyDescent="0.35">
      <c r="A6074" s="401">
        <v>45893</v>
      </c>
      <c r="B6074" s="404">
        <v>1.05737033037318E+21</v>
      </c>
    </row>
    <row r="6075" spans="1:2" ht="12.9" x14ac:dyDescent="0.35">
      <c r="A6075" s="401">
        <v>45894</v>
      </c>
      <c r="B6075" s="403">
        <v>9.0908058891840494E+20</v>
      </c>
    </row>
    <row r="6076" spans="1:2" ht="12.9" x14ac:dyDescent="0.35">
      <c r="A6076" s="401">
        <v>45895</v>
      </c>
      <c r="B6076" s="403">
        <v>9.6710700948766497E+20</v>
      </c>
    </row>
    <row r="6077" spans="1:2" ht="12.9" x14ac:dyDescent="0.35">
      <c r="A6077" s="401">
        <v>45896</v>
      </c>
      <c r="B6077" s="403">
        <v>9.6710700948766497E+20</v>
      </c>
    </row>
    <row r="6078" spans="1:2" ht="12.9" x14ac:dyDescent="0.35">
      <c r="A6078" s="401">
        <v>45897</v>
      </c>
      <c r="B6078" s="404">
        <v>1.02513343005692E+21</v>
      </c>
    </row>
    <row r="6079" spans="1:2" ht="12.9" x14ac:dyDescent="0.35">
      <c r="A6079" s="401">
        <v>45898</v>
      </c>
      <c r="B6079" s="404">
        <v>1.06381771043643E+21</v>
      </c>
    </row>
    <row r="6080" spans="1:2" ht="12.9" x14ac:dyDescent="0.35">
      <c r="A6080" s="401">
        <v>45899</v>
      </c>
      <c r="B6080" s="404">
        <v>1.01868604999367E+21</v>
      </c>
    </row>
    <row r="6081" spans="1:2" ht="12.9" x14ac:dyDescent="0.35">
      <c r="A6081" s="401">
        <v>45900</v>
      </c>
      <c r="B6081" s="403">
        <v>8.5105416834914504E+20</v>
      </c>
    </row>
    <row r="6082" spans="1:2" ht="12.9" x14ac:dyDescent="0.35">
      <c r="A6082" s="401">
        <v>45901</v>
      </c>
      <c r="B6082" s="404">
        <v>1.0380281901834199E+21</v>
      </c>
    </row>
    <row r="6083" spans="1:2" ht="12.9" x14ac:dyDescent="0.35">
      <c r="A6083" s="401">
        <v>45902</v>
      </c>
      <c r="B6083" s="404">
        <v>1.05092295030992E+21</v>
      </c>
    </row>
    <row r="6084" spans="1:2" ht="12.9" x14ac:dyDescent="0.35">
      <c r="A6084" s="401">
        <v>45903</v>
      </c>
      <c r="B6084" s="403">
        <v>8.832910686654E+20</v>
      </c>
    </row>
    <row r="6085" spans="1:2" ht="12.9" x14ac:dyDescent="0.35">
      <c r="A6085" s="401">
        <v>45904</v>
      </c>
      <c r="B6085" s="403">
        <v>9.02633208855154E+20</v>
      </c>
    </row>
    <row r="6086" spans="1:2" ht="12.9" x14ac:dyDescent="0.35">
      <c r="A6086" s="401">
        <v>45905</v>
      </c>
      <c r="B6086" s="403">
        <v>9.6704876263246594E+20</v>
      </c>
    </row>
    <row r="6087" spans="1:2" ht="12.9" x14ac:dyDescent="0.35">
      <c r="A6087" s="401">
        <v>45906</v>
      </c>
      <c r="B6087" s="403">
        <v>9.4676102635346395E+20</v>
      </c>
    </row>
    <row r="6088" spans="1:2" ht="12.9" x14ac:dyDescent="0.35">
      <c r="A6088" s="401">
        <v>45907</v>
      </c>
      <c r="B6088" s="404">
        <v>1.04143712898881E+21</v>
      </c>
    </row>
    <row r="6089" spans="1:2" ht="12.9" x14ac:dyDescent="0.35">
      <c r="A6089" s="401">
        <v>45908</v>
      </c>
      <c r="B6089" s="404">
        <v>1.0820126015468101E+21</v>
      </c>
    </row>
    <row r="6090" spans="1:2" ht="12.9" x14ac:dyDescent="0.35">
      <c r="A6090" s="401">
        <v>45909</v>
      </c>
      <c r="B6090" s="404">
        <v>1.12935065286448E+21</v>
      </c>
    </row>
    <row r="6091" spans="1:2" ht="12.9" x14ac:dyDescent="0.35">
      <c r="A6091" s="401">
        <v>45910</v>
      </c>
      <c r="B6091" s="404">
        <v>1.14963838914349E+21</v>
      </c>
    </row>
    <row r="6092" spans="1:2" ht="12.9" x14ac:dyDescent="0.35">
      <c r="A6092" s="401">
        <v>45911</v>
      </c>
      <c r="B6092" s="404">
        <v>1.01438681395014E+21</v>
      </c>
    </row>
    <row r="6093" spans="1:2" ht="12.9" x14ac:dyDescent="0.35">
      <c r="A6093" s="401">
        <v>45912</v>
      </c>
      <c r="B6093" s="403">
        <v>8.1150945116011194E+20</v>
      </c>
    </row>
    <row r="6094" spans="1:2" ht="12.9" x14ac:dyDescent="0.35">
      <c r="A6094" s="401">
        <v>45913</v>
      </c>
      <c r="B6094" s="403">
        <v>9.5352360511313098E+20</v>
      </c>
    </row>
    <row r="6095" spans="1:2" ht="12.9" x14ac:dyDescent="0.35">
      <c r="A6095" s="401">
        <v>45914</v>
      </c>
      <c r="B6095" s="404">
        <v>1.03467455022914E+21</v>
      </c>
    </row>
    <row r="6096" spans="1:2" ht="12.9" x14ac:dyDescent="0.35">
      <c r="A6096" s="401">
        <v>45915</v>
      </c>
      <c r="B6096" s="404">
        <v>1.10230033782581E+21</v>
      </c>
    </row>
    <row r="6097" spans="1:2" ht="12.9" x14ac:dyDescent="0.35">
      <c r="A6097" s="401">
        <v>45916</v>
      </c>
      <c r="B6097" s="404">
        <v>1.0820126015468101E+21</v>
      </c>
    </row>
    <row r="6098" spans="1:2" ht="12.9" x14ac:dyDescent="0.35">
      <c r="A6098" s="401">
        <v>45917</v>
      </c>
      <c r="B6098" s="403">
        <v>8.6561008123745206E+20</v>
      </c>
    </row>
    <row r="6099" spans="1:2" ht="12.9" x14ac:dyDescent="0.35">
      <c r="A6099" s="401">
        <v>45918</v>
      </c>
      <c r="B6099" s="404">
        <v>1.0684874440274799E+21</v>
      </c>
    </row>
    <row r="6100" spans="1:2" ht="12.9" x14ac:dyDescent="0.35">
      <c r="A6100" s="401">
        <v>45919</v>
      </c>
      <c r="B6100" s="404">
        <v>1.1887493807897701E+21</v>
      </c>
    </row>
    <row r="6101" spans="1:2" ht="12.9" x14ac:dyDescent="0.35">
      <c r="A6101" s="401">
        <v>45920</v>
      </c>
      <c r="B6101" s="404">
        <v>1.08261104321926E+21</v>
      </c>
    </row>
    <row r="6102" spans="1:2" ht="12.9" x14ac:dyDescent="0.35">
      <c r="A6102" s="401">
        <v>45921</v>
      </c>
      <c r="B6102" s="404">
        <v>1.1462940457615699E+21</v>
      </c>
    </row>
    <row r="6103" spans="1:2" ht="12.9" x14ac:dyDescent="0.35">
      <c r="A6103" s="401">
        <v>45922</v>
      </c>
      <c r="B6103" s="404">
        <v>1.06138337570516E+21</v>
      </c>
    </row>
    <row r="6104" spans="1:2" ht="12.9" x14ac:dyDescent="0.35">
      <c r="A6104" s="401">
        <v>45923</v>
      </c>
      <c r="B6104" s="404">
        <v>1.01892804067695E+21</v>
      </c>
    </row>
    <row r="6105" spans="1:2" ht="12.9" x14ac:dyDescent="0.35">
      <c r="A6105" s="401">
        <v>45924</v>
      </c>
      <c r="B6105" s="404">
        <v>1.08261104321926E+21</v>
      </c>
    </row>
    <row r="6106" spans="1:2" ht="12.9" x14ac:dyDescent="0.35">
      <c r="A6106" s="401">
        <v>45925</v>
      </c>
      <c r="B6106" s="403">
        <v>9.9770037316284999E+20</v>
      </c>
    </row>
    <row r="6107" spans="1:2" ht="12.9" x14ac:dyDescent="0.35">
      <c r="A6107" s="401">
        <v>45926</v>
      </c>
      <c r="B6107" s="403">
        <v>9.3401737062054101E+20</v>
      </c>
    </row>
    <row r="6108" spans="1:2" ht="12.9" x14ac:dyDescent="0.35">
      <c r="A6108" s="401">
        <v>45927</v>
      </c>
      <c r="B6108" s="404">
        <v>1.09676282156199E+21</v>
      </c>
    </row>
    <row r="6109" spans="1:2" ht="12.9" x14ac:dyDescent="0.35">
      <c r="A6109" s="401">
        <v>45928</v>
      </c>
      <c r="B6109" s="404">
        <v>1.16752171327567E+21</v>
      </c>
    </row>
    <row r="6110" spans="1:2" ht="12.9" x14ac:dyDescent="0.35">
      <c r="A6110" s="401">
        <v>45929</v>
      </c>
      <c r="B6110" s="403">
        <v>9.9062448399148306E+20</v>
      </c>
    </row>
    <row r="6111" spans="1:2" ht="12.9" x14ac:dyDescent="0.35">
      <c r="A6111" s="401">
        <v>45930</v>
      </c>
      <c r="B6111" s="404">
        <v>1.1392181565902E+21</v>
      </c>
    </row>
    <row r="6112" spans="1:2" ht="12.9" x14ac:dyDescent="0.35">
      <c r="A6112" s="401">
        <v>45931</v>
      </c>
      <c r="B6112" s="404">
        <v>1.06845926487652E+21</v>
      </c>
    </row>
    <row r="6113" spans="1:2" ht="12.9" x14ac:dyDescent="0.35">
      <c r="A6113" s="401">
        <v>45932</v>
      </c>
      <c r="B6113" s="404">
        <v>1.01976493647532E+21</v>
      </c>
    </row>
    <row r="6114" spans="1:2" ht="12.9" x14ac:dyDescent="0.35">
      <c r="A6114" s="401">
        <v>45933</v>
      </c>
      <c r="B6114" s="403">
        <v>8.84796047824181E+20</v>
      </c>
    </row>
    <row r="6115" spans="1:2" ht="12.9" x14ac:dyDescent="0.35">
      <c r="A6115" s="401">
        <v>45934</v>
      </c>
      <c r="B6115" s="404">
        <v>1.00476839329186E+21</v>
      </c>
    </row>
    <row r="6116" spans="1:2" ht="12.9" x14ac:dyDescent="0.35">
      <c r="A6116" s="401">
        <v>45935</v>
      </c>
      <c r="B6116" s="404">
        <v>1.1172424671678201E+21</v>
      </c>
    </row>
    <row r="6117" spans="1:2" ht="12.9" x14ac:dyDescent="0.35">
      <c r="A6117" s="401">
        <v>45936</v>
      </c>
      <c r="B6117" s="403">
        <v>9.2228740578283304E+20</v>
      </c>
    </row>
    <row r="6118" spans="1:2" ht="12.9" x14ac:dyDescent="0.35">
      <c r="A6118" s="401">
        <v>45937</v>
      </c>
      <c r="B6118" s="404">
        <v>1.03476147965878E+21</v>
      </c>
    </row>
    <row r="6119" spans="1:2" ht="12.9" x14ac:dyDescent="0.35">
      <c r="A6119" s="401">
        <v>45938</v>
      </c>
      <c r="B6119" s="404">
        <v>1.1097441955760899E+21</v>
      </c>
    </row>
    <row r="6120" spans="1:2" ht="12.9" x14ac:dyDescent="0.35">
      <c r="A6120" s="401">
        <v>45939</v>
      </c>
      <c r="B6120" s="403">
        <v>8.9979259100764203E+20</v>
      </c>
    </row>
    <row r="6121" spans="1:2" ht="12.9" x14ac:dyDescent="0.35">
      <c r="A6121" s="401">
        <v>45940</v>
      </c>
      <c r="B6121" s="403">
        <v>9.8977185010840594E+20</v>
      </c>
    </row>
    <row r="6122" spans="1:2" ht="12.9" x14ac:dyDescent="0.35">
      <c r="A6122" s="401">
        <v>45941</v>
      </c>
      <c r="B6122" s="404">
        <v>1.1022459239843599E+21</v>
      </c>
    </row>
    <row r="6123" spans="1:2" ht="12.9" x14ac:dyDescent="0.35">
      <c r="A6123" s="401">
        <v>45942</v>
      </c>
      <c r="B6123" s="404">
        <v>1.0872493808009E+21</v>
      </c>
    </row>
    <row r="6124" spans="1:2" ht="12.9" x14ac:dyDescent="0.35">
      <c r="A6124" s="401">
        <v>45943</v>
      </c>
      <c r="B6124" s="404">
        <v>1.13973728194301E+21</v>
      </c>
    </row>
    <row r="6125" spans="1:2" ht="12.9" x14ac:dyDescent="0.35">
      <c r="A6125" s="401">
        <v>45944</v>
      </c>
      <c r="B6125" s="404">
        <v>1.2672078990024201E+21</v>
      </c>
    </row>
    <row r="6126" spans="1:2" ht="12.9" x14ac:dyDescent="0.35">
      <c r="A6126" s="401">
        <v>45945</v>
      </c>
      <c r="B6126" s="404">
        <v>1.07975110920917E+21</v>
      </c>
    </row>
    <row r="6127" spans="1:2" ht="12.9" x14ac:dyDescent="0.35">
      <c r="A6127" s="401">
        <v>45946</v>
      </c>
      <c r="B6127" s="404">
        <v>1.11587406495614E+21</v>
      </c>
    </row>
    <row r="6128" spans="1:2" ht="12.9" x14ac:dyDescent="0.35">
      <c r="A6128" s="401">
        <v>45947</v>
      </c>
      <c r="B6128" s="404">
        <v>1.15963383220932E+21</v>
      </c>
    </row>
    <row r="6129" spans="1:2" ht="12.9" x14ac:dyDescent="0.35">
      <c r="A6129" s="401">
        <v>45948</v>
      </c>
      <c r="B6129" s="404">
        <v>1.2033935994624999E+21</v>
      </c>
    </row>
    <row r="6130" spans="1:2" ht="12.9" x14ac:dyDescent="0.35">
      <c r="A6130" s="401">
        <v>45949</v>
      </c>
      <c r="B6130" s="404">
        <v>1.01376794136538E+21</v>
      </c>
    </row>
    <row r="6131" spans="1:2" ht="12.9" x14ac:dyDescent="0.35">
      <c r="A6131" s="401">
        <v>45950</v>
      </c>
      <c r="B6131" s="404">
        <v>1.0867008867873499E+21</v>
      </c>
    </row>
    <row r="6132" spans="1:2" ht="12.9" x14ac:dyDescent="0.35">
      <c r="A6132" s="401">
        <v>45951</v>
      </c>
      <c r="B6132" s="404">
        <v>1.09399418132955E+21</v>
      </c>
    </row>
    <row r="6133" spans="1:2" ht="12.9" x14ac:dyDescent="0.35">
      <c r="A6133" s="401">
        <v>45952</v>
      </c>
      <c r="B6133" s="404">
        <v>1.11587406495614E+21</v>
      </c>
    </row>
    <row r="6134" spans="1:2" ht="12.9" x14ac:dyDescent="0.35">
      <c r="A6134" s="401">
        <v>45953</v>
      </c>
      <c r="B6134" s="404">
        <v>1.03564782499197E+21</v>
      </c>
    </row>
    <row r="6135" spans="1:2" ht="12.9" x14ac:dyDescent="0.35">
      <c r="A6135" s="401">
        <v>45954</v>
      </c>
      <c r="B6135" s="404">
        <v>1.3054997230532601E+21</v>
      </c>
    </row>
    <row r="6136" spans="1:2" ht="12.9" x14ac:dyDescent="0.35">
      <c r="A6136" s="401">
        <v>45955</v>
      </c>
      <c r="B6136" s="404">
        <v>1.16692712675152E+21</v>
      </c>
    </row>
    <row r="6137" spans="1:2" ht="12.9" x14ac:dyDescent="0.35">
      <c r="A6137" s="401">
        <v>45956</v>
      </c>
      <c r="B6137" s="404">
        <v>1.0721142977029599E+21</v>
      </c>
    </row>
    <row r="6138" spans="1:2" ht="12.9" x14ac:dyDescent="0.35">
      <c r="A6138" s="401">
        <v>45957</v>
      </c>
      <c r="B6138" s="404">
        <v>1.0721142977029599E+21</v>
      </c>
    </row>
    <row r="6139" spans="1:2" ht="12.9" x14ac:dyDescent="0.35">
      <c r="A6139" s="401">
        <v>45958</v>
      </c>
      <c r="B6139" s="404">
        <v>1.18151371583591E+21</v>
      </c>
    </row>
    <row r="6140" spans="1:2" ht="12.9" x14ac:dyDescent="0.35">
      <c r="A6140" s="401">
        <v>45959</v>
      </c>
      <c r="B6140" s="403">
        <v>9.5367576270636895E+20</v>
      </c>
    </row>
    <row r="6141" spans="1:2" ht="12.9" x14ac:dyDescent="0.35">
      <c r="A6141" s="401">
        <v>45960</v>
      </c>
      <c r="B6141" s="404">
        <v>1.2405538376668199E+21</v>
      </c>
    </row>
    <row r="6142" spans="1:2" ht="12.9" x14ac:dyDescent="0.35">
      <c r="A6142" s="401">
        <v>45961</v>
      </c>
      <c r="B6142" s="404">
        <v>1.08548460795846E+21</v>
      </c>
    </row>
    <row r="6143" spans="1:2" ht="12.9" x14ac:dyDescent="0.35">
      <c r="A6143" s="401">
        <v>45962</v>
      </c>
      <c r="B6143" s="404">
        <v>1.0699776849876301E+21</v>
      </c>
    </row>
    <row r="6144" spans="1:2" ht="12.9" x14ac:dyDescent="0.35">
      <c r="A6144" s="401">
        <v>45963</v>
      </c>
      <c r="B6144" s="404">
        <v>1.2017865302397299E+21</v>
      </c>
    </row>
    <row r="6145" spans="1:2" ht="12.9" x14ac:dyDescent="0.35">
      <c r="A6145" s="401">
        <v>45964</v>
      </c>
      <c r="B6145" s="404">
        <v>1.1009915309293E+21</v>
      </c>
    </row>
    <row r="6146" spans="1:2" ht="12.9" x14ac:dyDescent="0.35">
      <c r="A6146" s="401">
        <v>45965</v>
      </c>
      <c r="B6146" s="404">
        <v>1.01570345458971E+21</v>
      </c>
    </row>
    <row r="6147" spans="1:2" ht="12.9" x14ac:dyDescent="0.35">
      <c r="A6147" s="401">
        <v>45966</v>
      </c>
      <c r="B6147" s="404">
        <v>1.0699776849876301E+21</v>
      </c>
    </row>
    <row r="6148" spans="1:2" ht="12.9" x14ac:dyDescent="0.35">
      <c r="A6148" s="401">
        <v>45967</v>
      </c>
      <c r="B6148" s="404">
        <v>1.08548460795846E+21</v>
      </c>
    </row>
    <row r="6149" spans="1:2" ht="12.9" x14ac:dyDescent="0.35">
      <c r="A6149" s="401">
        <v>45968</v>
      </c>
      <c r="B6149" s="404">
        <v>1.1009915309293E+21</v>
      </c>
    </row>
    <row r="6150" spans="1:2" ht="12.9" x14ac:dyDescent="0.35">
      <c r="A6150" s="401">
        <v>45969</v>
      </c>
      <c r="B6150" s="403">
        <v>9.3041537825011597E+20</v>
      </c>
    </row>
    <row r="6151" spans="1:2" ht="12.9" x14ac:dyDescent="0.35">
      <c r="A6151" s="401">
        <v>45970</v>
      </c>
      <c r="B6151" s="404">
        <v>1.09323806944388E+21</v>
      </c>
    </row>
    <row r="6152" spans="1:2" ht="12.9" x14ac:dyDescent="0.35">
      <c r="A6152" s="401">
        <v>45971</v>
      </c>
      <c r="B6152" s="404">
        <v>1.08548460795846E+21</v>
      </c>
    </row>
    <row r="6153" spans="1:2" ht="12.9" x14ac:dyDescent="0.35">
      <c r="A6153" s="401">
        <v>45972</v>
      </c>
      <c r="B6153" s="404">
        <v>1.1862796072688901E+21</v>
      </c>
    </row>
    <row r="6154" spans="1:2" ht="12.9" x14ac:dyDescent="0.35">
      <c r="A6154" s="401">
        <v>45973</v>
      </c>
      <c r="B6154" s="404">
        <v>1.09323806944388E+21</v>
      </c>
    </row>
    <row r="6155" spans="1:2" ht="12.9" x14ac:dyDescent="0.35">
      <c r="A6155" s="401">
        <v>45974</v>
      </c>
      <c r="B6155" s="404">
        <v>1.1354178932524E+21</v>
      </c>
    </row>
    <row r="6156" spans="1:2" ht="12.9" x14ac:dyDescent="0.35">
      <c r="A6156" s="401">
        <v>45975</v>
      </c>
      <c r="B6156" s="404">
        <v>1.09000117752231E+21</v>
      </c>
    </row>
    <row r="6157" spans="1:2" ht="12.9" x14ac:dyDescent="0.35">
      <c r="A6157" s="401">
        <v>45976</v>
      </c>
      <c r="B6157" s="404">
        <v>1.08243172490062E+21</v>
      </c>
    </row>
    <row r="6158" spans="1:2" ht="12.9" x14ac:dyDescent="0.35">
      <c r="A6158" s="401">
        <v>45977</v>
      </c>
      <c r="B6158" s="404">
        <v>1.20354296684755E+21</v>
      </c>
    </row>
    <row r="6159" spans="1:2" ht="12.9" x14ac:dyDescent="0.35">
      <c r="A6159" s="401">
        <v>45978</v>
      </c>
      <c r="B6159" s="403">
        <v>9.3861212508865705E+20</v>
      </c>
    </row>
    <row r="6160" spans="1:2" ht="12.9" x14ac:dyDescent="0.35">
      <c r="A6160" s="401">
        <v>45979</v>
      </c>
      <c r="B6160" s="404">
        <v>1.0067371986837999E+21</v>
      </c>
    </row>
    <row r="6161" spans="1:2" ht="12.9" x14ac:dyDescent="0.35">
      <c r="A6161" s="401">
        <v>45980</v>
      </c>
      <c r="B6161" s="404">
        <v>1.03701500917053E+21</v>
      </c>
    </row>
    <row r="6162" spans="1:2" ht="12.9" x14ac:dyDescent="0.35">
      <c r="A6162" s="401">
        <v>45981</v>
      </c>
      <c r="B6162" s="403">
        <v>9.9159829344043598E+20</v>
      </c>
    </row>
    <row r="6163" spans="1:2" ht="12.9" x14ac:dyDescent="0.35">
      <c r="A6163" s="401">
        <v>45982</v>
      </c>
      <c r="B6163" s="404">
        <v>1.1429873458740899E+21</v>
      </c>
    </row>
    <row r="6164" spans="1:2" ht="12.9" x14ac:dyDescent="0.35">
      <c r="A6164" s="401">
        <v>45983</v>
      </c>
      <c r="B6164" s="404">
        <v>1.08243172490062E+21</v>
      </c>
    </row>
    <row r="6165" spans="1:2" ht="12.9" x14ac:dyDescent="0.35">
      <c r="A6165" s="401">
        <v>45984</v>
      </c>
      <c r="B6165" s="404">
        <v>1.07486227227894E+21</v>
      </c>
    </row>
    <row r="6166" spans="1:2" ht="12.9" x14ac:dyDescent="0.35">
      <c r="A6166" s="401">
        <v>45985</v>
      </c>
      <c r="B6166" s="404">
        <v>1.08243172490062E+21</v>
      </c>
    </row>
    <row r="6167" spans="1:2" ht="12.9" x14ac:dyDescent="0.35">
      <c r="A6167" s="401">
        <v>45986</v>
      </c>
      <c r="B6167" s="403">
        <v>8.7048705149351205E+20</v>
      </c>
    </row>
    <row r="6168" spans="1:2" ht="12.9" x14ac:dyDescent="0.35">
      <c r="A6168" s="401">
        <v>45987</v>
      </c>
      <c r="B6168" s="404">
        <v>1.2413902299559601E+21</v>
      </c>
    </row>
    <row r="6169" spans="1:2" ht="12.9" x14ac:dyDescent="0.35">
      <c r="A6169" s="401">
        <v>45988</v>
      </c>
      <c r="B6169" s="404">
        <v>1.06131785821283E+21</v>
      </c>
    </row>
    <row r="6170" spans="1:2" ht="12.9" x14ac:dyDescent="0.35">
      <c r="A6170" s="401">
        <v>45989</v>
      </c>
      <c r="B6170" s="404">
        <v>1.11327048064283E+21</v>
      </c>
    </row>
    <row r="6171" spans="1:2" ht="12.9" x14ac:dyDescent="0.35">
      <c r="A6171" s="401">
        <v>45990</v>
      </c>
      <c r="B6171" s="404">
        <v>1.01678703898712E+21</v>
      </c>
    </row>
    <row r="6172" spans="1:2" ht="12.9" x14ac:dyDescent="0.35">
      <c r="A6172" s="401">
        <v>45991</v>
      </c>
      <c r="B6172" s="404">
        <v>1.2394411351156801E+21</v>
      </c>
    </row>
    <row r="6173" spans="1:2" ht="12.9" x14ac:dyDescent="0.35">
      <c r="A6173" s="401">
        <v>45992</v>
      </c>
      <c r="B6173" s="403">
        <v>9.8709982616997698E+20</v>
      </c>
    </row>
    <row r="6174" spans="1:2" ht="12.9" x14ac:dyDescent="0.35">
      <c r="A6174" s="401">
        <v>45993</v>
      </c>
      <c r="B6174" s="403">
        <v>9.42569006944264E+20</v>
      </c>
    </row>
    <row r="6175" spans="1:2" ht="12.9" x14ac:dyDescent="0.35">
      <c r="A6175" s="401">
        <v>45994</v>
      </c>
      <c r="B6175" s="403">
        <v>9.7967802296569194E+20</v>
      </c>
    </row>
    <row r="6176" spans="1:2" ht="12.9" x14ac:dyDescent="0.35">
      <c r="A6176" s="401">
        <v>45995</v>
      </c>
      <c r="B6176" s="403">
        <v>9.7967802296569194E+20</v>
      </c>
    </row>
    <row r="6177" spans="1:2" ht="12.9" x14ac:dyDescent="0.35">
      <c r="A6177" s="401">
        <v>45996</v>
      </c>
      <c r="B6177" s="403">
        <v>8.8319458130998002E+20</v>
      </c>
    </row>
    <row r="6178" spans="1:2" ht="12.9" x14ac:dyDescent="0.35">
      <c r="A6178" s="401">
        <v>45997</v>
      </c>
      <c r="B6178" s="404">
        <v>1.2097539222985399E+21</v>
      </c>
    </row>
    <row r="6179" spans="1:2" ht="12.9" x14ac:dyDescent="0.35">
      <c r="A6179" s="401">
        <v>45998</v>
      </c>
      <c r="B6179" s="404">
        <v>1.1874885126856801E+21</v>
      </c>
    </row>
    <row r="6180" spans="1:2" ht="12.9" x14ac:dyDescent="0.35">
      <c r="A6180" s="401">
        <v>45999</v>
      </c>
      <c r="B6180" s="404">
        <v>1.09842687423426E+21</v>
      </c>
    </row>
    <row r="6181" spans="1:2" ht="12.9" x14ac:dyDescent="0.35">
      <c r="A6181" s="401">
        <v>46000</v>
      </c>
      <c r="B6181" s="403">
        <v>9.5741261335283499E+20</v>
      </c>
    </row>
    <row r="6182" spans="1:2" ht="12.9" x14ac:dyDescent="0.35">
      <c r="A6182" s="401">
        <v>46001</v>
      </c>
      <c r="B6182" s="404">
        <v>1.15037949666426E+21</v>
      </c>
    </row>
    <row r="6183" spans="1:2" ht="12.9" x14ac:dyDescent="0.35">
      <c r="A6183" s="401">
        <v>46002</v>
      </c>
      <c r="B6183" s="404">
        <v>1.17869258414883E+21</v>
      </c>
    </row>
    <row r="6184" spans="1:2" ht="12.9" x14ac:dyDescent="0.35">
      <c r="A6184" s="401">
        <v>46003</v>
      </c>
      <c r="B6184" s="404">
        <v>1.06819015438488E+21</v>
      </c>
    </row>
    <row r="6185" spans="1:2" ht="12.9" x14ac:dyDescent="0.35">
      <c r="A6185" s="401">
        <v>46004</v>
      </c>
      <c r="B6185" s="404">
        <v>1.05345649708302E+21</v>
      </c>
    </row>
    <row r="6186" spans="1:2" ht="12.9" x14ac:dyDescent="0.35">
      <c r="A6186" s="401">
        <v>46005</v>
      </c>
      <c r="B6186" s="403">
        <v>9.4295406731906698E+20</v>
      </c>
    </row>
    <row r="6187" spans="1:2" ht="12.9" x14ac:dyDescent="0.35">
      <c r="A6187" s="401">
        <v>46006</v>
      </c>
      <c r="B6187" s="403">
        <v>9.8715503922464896E+20</v>
      </c>
    </row>
    <row r="6188" spans="1:2" ht="12.9" x14ac:dyDescent="0.35">
      <c r="A6188" s="401">
        <v>46007</v>
      </c>
      <c r="B6188" s="404">
        <v>1.08292381168674E+21</v>
      </c>
    </row>
    <row r="6189" spans="1:2" ht="12.9" x14ac:dyDescent="0.35">
      <c r="A6189" s="401">
        <v>46008</v>
      </c>
      <c r="B6189" s="404">
        <v>1.0166223538283701E+21</v>
      </c>
    </row>
    <row r="6190" spans="1:2" ht="12.9" x14ac:dyDescent="0.35">
      <c r="A6190" s="401">
        <v>46009</v>
      </c>
      <c r="B6190" s="404">
        <v>1.0608233257339501E+21</v>
      </c>
    </row>
    <row r="6191" spans="1:2" ht="12.9" x14ac:dyDescent="0.35">
      <c r="A6191" s="401">
        <v>46010</v>
      </c>
      <c r="B6191" s="404">
        <v>1.06819015438488E+21</v>
      </c>
    </row>
    <row r="6192" spans="1:2" ht="12.9" x14ac:dyDescent="0.35">
      <c r="A6192" s="401">
        <v>46011</v>
      </c>
      <c r="B6192" s="404">
        <v>1.08292381168674E+21</v>
      </c>
    </row>
    <row r="6193" spans="1:2" ht="12.9" x14ac:dyDescent="0.35">
      <c r="A6193" s="401">
        <v>46012</v>
      </c>
      <c r="B6193" s="404">
        <v>1.0166223538283701E+21</v>
      </c>
    </row>
    <row r="6194" spans="1:2" ht="12.9" x14ac:dyDescent="0.35">
      <c r="A6194" s="401">
        <v>46013</v>
      </c>
      <c r="B6194" s="404">
        <v>1.0239891824793E+21</v>
      </c>
    </row>
    <row r="6195" spans="1:2" ht="12.9" x14ac:dyDescent="0.35">
      <c r="A6195" s="401">
        <v>46014</v>
      </c>
      <c r="B6195" s="404">
        <v>1.06819015438488E+21</v>
      </c>
    </row>
    <row r="6196" spans="1:2" ht="12.9" x14ac:dyDescent="0.35">
      <c r="A6196" s="401">
        <v>46015</v>
      </c>
      <c r="B6196" s="404">
        <v>1.1713257554979E+21</v>
      </c>
    </row>
    <row r="6197" spans="1:2" ht="12.9" x14ac:dyDescent="0.35">
      <c r="A6197" s="401">
        <v>46016</v>
      </c>
      <c r="B6197" s="404">
        <v>1.01705540761151E+21</v>
      </c>
    </row>
    <row r="6198" spans="1:2" ht="12.9" x14ac:dyDescent="0.35">
      <c r="A6198" s="401">
        <v>46017</v>
      </c>
      <c r="B6198" s="404">
        <v>1.1497148086043199E+21</v>
      </c>
    </row>
    <row r="6199" spans="1:2" ht="12.9" x14ac:dyDescent="0.35">
      <c r="A6199" s="401">
        <v>46018</v>
      </c>
      <c r="B6199" s="404">
        <v>1.00231547416787E+21</v>
      </c>
    </row>
    <row r="6200" spans="1:2" ht="12.9" x14ac:dyDescent="0.35">
      <c r="A6200" s="401">
        <v>46019</v>
      </c>
      <c r="B6200" s="404">
        <v>1.1423448418824999E+21</v>
      </c>
    </row>
    <row r="6201" spans="1:2" ht="12.9" x14ac:dyDescent="0.35">
      <c r="A6201" s="401">
        <v>46020</v>
      </c>
      <c r="B6201" s="404">
        <v>1.13497487516067E+21</v>
      </c>
    </row>
    <row r="6202" spans="1:2" ht="12.9" x14ac:dyDescent="0.35">
      <c r="A6202" s="401">
        <v>46021</v>
      </c>
      <c r="B6202" s="403">
        <v>8.77026039896887E+20</v>
      </c>
    </row>
    <row r="6203" spans="1:2" ht="12.9" x14ac:dyDescent="0.35">
      <c r="A6203" s="401">
        <v>46022</v>
      </c>
      <c r="B6203" s="403">
        <v>9.8020557400240397E+20</v>
      </c>
    </row>
    <row r="6204" spans="1:2" ht="12.9" x14ac:dyDescent="0.35">
      <c r="A6204" s="401">
        <v>46023</v>
      </c>
      <c r="B6204" s="404">
        <v>1.11286497499521E+21</v>
      </c>
    </row>
    <row r="6205" spans="1:2" ht="12.9" x14ac:dyDescent="0.35">
      <c r="A6205" s="401">
        <v>46024</v>
      </c>
      <c r="B6205" s="404">
        <v>1.0612752079424501E+21</v>
      </c>
    </row>
    <row r="6206" spans="1:2" ht="12.9" x14ac:dyDescent="0.35">
      <c r="A6206" s="401">
        <v>46025</v>
      </c>
      <c r="B6206" s="404">
        <v>1.1423448418824999E+21</v>
      </c>
    </row>
    <row r="6207" spans="1:2" ht="12.9" x14ac:dyDescent="0.35">
      <c r="A6207" s="401">
        <v>46026</v>
      </c>
      <c r="B6207" s="404">
        <v>1.0686451746642701E+21</v>
      </c>
    </row>
    <row r="6208" spans="1:2" ht="12.9" x14ac:dyDescent="0.35">
      <c r="A6208" s="401">
        <v>46027</v>
      </c>
      <c r="B6208" s="403">
        <v>9.7283560728058095E+20</v>
      </c>
    </row>
    <row r="6209" spans="1:2" ht="12.9" x14ac:dyDescent="0.35">
      <c r="A6209" s="401">
        <v>46028</v>
      </c>
      <c r="B6209" s="403">
        <v>9.5809567383693597E+20</v>
      </c>
    </row>
    <row r="6210" spans="1:2" ht="12.9" x14ac:dyDescent="0.35">
      <c r="A6210" s="401">
        <v>46029</v>
      </c>
      <c r="B6210" s="404">
        <v>1.08338510810792E+21</v>
      </c>
    </row>
    <row r="6211" spans="1:2" ht="12.9" x14ac:dyDescent="0.35">
      <c r="A6211" s="401">
        <v>46030</v>
      </c>
      <c r="B6211" s="403">
        <v>9.6111720920974806E+20</v>
      </c>
    </row>
    <row r="6212" spans="1:2" ht="12.9" x14ac:dyDescent="0.35">
      <c r="A6212" s="401">
        <v>46031</v>
      </c>
      <c r="B6212" s="404">
        <v>1.03392911899836E+21</v>
      </c>
    </row>
    <row r="6213" spans="1:2" ht="12.9" x14ac:dyDescent="0.35">
      <c r="A6213" s="401">
        <v>46032</v>
      </c>
      <c r="B6213" s="404">
        <v>1.1795529385755901E+21</v>
      </c>
    </row>
    <row r="6214" spans="1:2" ht="12.9" x14ac:dyDescent="0.35">
      <c r="A6214" s="401">
        <v>46033</v>
      </c>
      <c r="B6214" s="403">
        <v>8.8830529942113E+20</v>
      </c>
    </row>
    <row r="6215" spans="1:2" ht="12.9" x14ac:dyDescent="0.35">
      <c r="A6215" s="401">
        <v>46034</v>
      </c>
      <c r="B6215" s="404">
        <v>1.03392911899836E+21</v>
      </c>
    </row>
    <row r="6216" spans="1:2" ht="12.9" x14ac:dyDescent="0.35">
      <c r="A6216" s="401">
        <v>46035</v>
      </c>
      <c r="B6216" s="403">
        <v>9.8296078214633305E+20</v>
      </c>
    </row>
    <row r="6217" spans="1:2" ht="12.9" x14ac:dyDescent="0.35">
      <c r="A6217" s="401">
        <v>46036</v>
      </c>
      <c r="B6217" s="403">
        <v>9.0286768137885398E+20</v>
      </c>
    </row>
    <row r="6218" spans="1:2" ht="12.9" x14ac:dyDescent="0.35">
      <c r="A6218" s="401">
        <v>46037</v>
      </c>
      <c r="B6218" s="404">
        <v>1.01208554606178E+21</v>
      </c>
    </row>
    <row r="6219" spans="1:2" ht="12.9" x14ac:dyDescent="0.35">
      <c r="A6219" s="401">
        <v>46038</v>
      </c>
      <c r="B6219" s="403">
        <v>9.4655482725202395E+20</v>
      </c>
    </row>
    <row r="6220" spans="1:2" ht="12.9" x14ac:dyDescent="0.35">
      <c r="A6220" s="401">
        <v>46039</v>
      </c>
      <c r="B6220" s="404">
        <v>1.08489745585039E+21</v>
      </c>
    </row>
    <row r="6221" spans="1:2" ht="12.9" x14ac:dyDescent="0.35">
      <c r="A6221" s="401">
        <v>46040</v>
      </c>
      <c r="B6221" s="404">
        <v>1.01936673704064E+21</v>
      </c>
    </row>
    <row r="6222" spans="1:2" ht="12.9" x14ac:dyDescent="0.35">
      <c r="A6222" s="401">
        <v>46041</v>
      </c>
      <c r="B6222" s="404">
        <v>1.09217864682925E+21</v>
      </c>
    </row>
    <row r="6223" spans="1:2" ht="12.9" x14ac:dyDescent="0.35">
      <c r="A6223" s="401">
        <v>46042</v>
      </c>
      <c r="B6223" s="403">
        <v>9.6839840018860894E+20</v>
      </c>
    </row>
    <row r="6224" spans="1:2" ht="12.9" x14ac:dyDescent="0.35">
      <c r="A6224" s="401">
        <v>46043</v>
      </c>
      <c r="B6224" s="403">
        <v>9.9752316410405598E+20</v>
      </c>
    </row>
    <row r="6225" spans="1:2" ht="12.9" x14ac:dyDescent="0.35">
      <c r="A6225" s="401">
        <v>46044</v>
      </c>
      <c r="B6225" s="404">
        <v>1.17227174759673E+21</v>
      </c>
    </row>
    <row r="6226" spans="1:2" ht="12.9" x14ac:dyDescent="0.35">
      <c r="A6226" s="401">
        <v>46045</v>
      </c>
      <c r="B6226" s="403">
        <v>9.8593037447046103E+20</v>
      </c>
    </row>
    <row r="6227" spans="1:2" ht="12.9" x14ac:dyDescent="0.35">
      <c r="A6227" s="401">
        <v>46046</v>
      </c>
      <c r="B6227" s="403">
        <v>6.9015126212932193E+20</v>
      </c>
    </row>
    <row r="6228" spans="1:2" ht="12.9" x14ac:dyDescent="0.35">
      <c r="A6228" s="401">
        <v>46047</v>
      </c>
      <c r="B6228" s="403">
        <v>7.6057486030578398E+20</v>
      </c>
    </row>
    <row r="6229" spans="1:2" ht="12.9" x14ac:dyDescent="0.35">
      <c r="A6229" s="401">
        <v>46048</v>
      </c>
      <c r="B6229" s="403">
        <v>8.7325261738812205E+20</v>
      </c>
    </row>
    <row r="6230" spans="1:2" ht="12.9" x14ac:dyDescent="0.35">
      <c r="A6230" s="401">
        <v>46049</v>
      </c>
      <c r="B6230" s="403">
        <v>8.5916789775282995E+20</v>
      </c>
    </row>
    <row r="6231" spans="1:2" ht="12.9" x14ac:dyDescent="0.35">
      <c r="A6231" s="401">
        <v>46050</v>
      </c>
      <c r="B6231" s="403">
        <v>7.7465957994107594E+20</v>
      </c>
    </row>
    <row r="6232" spans="1:2" ht="12.9" x14ac:dyDescent="0.35">
      <c r="A6232" s="401">
        <v>46051</v>
      </c>
      <c r="B6232" s="403">
        <v>9.0142205665870702E+20</v>
      </c>
    </row>
    <row r="6233" spans="1:2" ht="12.9" x14ac:dyDescent="0.35">
      <c r="A6233" s="401">
        <v>46052</v>
      </c>
      <c r="B6233" s="403">
        <v>9.2254913611164497E+20</v>
      </c>
    </row>
    <row r="6234" spans="1:2" ht="12.9" x14ac:dyDescent="0.35">
      <c r="A6234" s="401">
        <v>46053</v>
      </c>
      <c r="B6234" s="403">
        <v>9.7184565483516802E+20</v>
      </c>
    </row>
    <row r="6235" spans="1:2" ht="12.9" x14ac:dyDescent="0.35">
      <c r="A6235" s="401">
        <v>46054</v>
      </c>
      <c r="B6235" s="403">
        <v>8.3804081829989096E+20</v>
      </c>
    </row>
    <row r="6236" spans="1:2" ht="12.9" x14ac:dyDescent="0.35">
      <c r="A6236" s="401">
        <v>46055</v>
      </c>
      <c r="B6236" s="403">
        <v>8.3099845848224498E+20</v>
      </c>
    </row>
    <row r="6237" spans="1:2" ht="12.9" x14ac:dyDescent="0.35">
      <c r="A6237" s="401">
        <v>46056</v>
      </c>
      <c r="B6237" s="403">
        <v>9.29591495929292E+20</v>
      </c>
    </row>
    <row r="6238" spans="1:2" ht="12.9" x14ac:dyDescent="0.35">
      <c r="A6238" s="401">
        <v>46057</v>
      </c>
      <c r="B6238" s="404">
        <v>1.00001509410575E+21</v>
      </c>
    </row>
    <row r="6239" spans="1:2" ht="12.9" x14ac:dyDescent="0.35">
      <c r="A6239" s="401">
        <v>46058</v>
      </c>
      <c r="B6239" s="403">
        <v>8.9437969684106104E+20</v>
      </c>
    </row>
    <row r="6240" spans="1:2" ht="12.9" x14ac:dyDescent="0.35">
      <c r="A6240" s="401">
        <v>46059</v>
      </c>
      <c r="B6240" s="404">
        <v>1.02114217355869E+21</v>
      </c>
    </row>
    <row r="6241" spans="1:2" ht="12.9" x14ac:dyDescent="0.35">
      <c r="A6241" s="401">
        <v>46060</v>
      </c>
      <c r="B6241" s="404">
        <v>1.16903172972926E+21</v>
      </c>
    </row>
    <row r="6242" spans="1:2" ht="12.9" x14ac:dyDescent="0.35">
      <c r="A6242" s="401">
        <v>46061</v>
      </c>
      <c r="B6242" s="404">
        <v>1.06364966098268E+21</v>
      </c>
    </row>
    <row r="6243" spans="1:2" ht="12.9" x14ac:dyDescent="0.35">
      <c r="A6243" s="401">
        <v>46062</v>
      </c>
      <c r="B6243" s="404">
        <v>1.01985232200104E+21</v>
      </c>
    </row>
    <row r="6244" spans="1:2" ht="12.9" x14ac:dyDescent="0.35">
      <c r="A6244" s="401">
        <v>46063</v>
      </c>
      <c r="B6244" s="403">
        <v>9.0097383047945401E+20</v>
      </c>
    </row>
    <row r="6245" spans="1:2" ht="12.9" x14ac:dyDescent="0.35">
      <c r="A6245" s="401">
        <v>46064</v>
      </c>
      <c r="B6245" s="403">
        <v>9.8231174573107197E+20</v>
      </c>
    </row>
    <row r="6246" spans="1:2" ht="12.9" x14ac:dyDescent="0.35">
      <c r="A6246" s="401">
        <v>46065</v>
      </c>
      <c r="B6246" s="404">
        <v>1.10744699996432E+21</v>
      </c>
    </row>
    <row r="6247" spans="1:2" ht="12.9" x14ac:dyDescent="0.35">
      <c r="A6247" s="401">
        <v>46066</v>
      </c>
      <c r="B6247" s="403">
        <v>9.4477116946109406E+20</v>
      </c>
    </row>
    <row r="6248" spans="1:2" ht="12.9" x14ac:dyDescent="0.35">
      <c r="A6248" s="401">
        <v>46067</v>
      </c>
      <c r="B6248" s="404">
        <v>1.03862261013603E+21</v>
      </c>
    </row>
    <row r="6249" spans="1:2" ht="12.9" x14ac:dyDescent="0.35">
      <c r="A6249" s="401">
        <v>46068</v>
      </c>
      <c r="B6249" s="404">
        <v>1.23258225419758E+21</v>
      </c>
    </row>
    <row r="6250" spans="1:2" ht="12.9" x14ac:dyDescent="0.35">
      <c r="A6250" s="401">
        <v>46069</v>
      </c>
      <c r="B6250" s="404">
        <v>1.0949334745410001E+21</v>
      </c>
    </row>
    <row r="6251" spans="1:2" ht="12.9" x14ac:dyDescent="0.35">
      <c r="A6251" s="401">
        <v>46070</v>
      </c>
      <c r="B6251" s="404">
        <v>1.03236584742437E+21</v>
      </c>
    </row>
    <row r="6252" spans="1:2" ht="12.9" x14ac:dyDescent="0.35">
      <c r="A6252" s="401">
        <v>46071</v>
      </c>
      <c r="B6252" s="403">
        <v>9.5728469488442003E+20</v>
      </c>
    </row>
    <row r="6253" spans="1:2" ht="12.9" x14ac:dyDescent="0.35">
      <c r="A6253" s="401">
        <v>46072</v>
      </c>
      <c r="B6253" s="403">
        <v>9.9482527115439702E+20</v>
      </c>
    </row>
    <row r="6254" spans="1:2" ht="12.9" x14ac:dyDescent="0.35">
      <c r="A6254" s="401">
        <v>46073</v>
      </c>
      <c r="B6254" s="403">
        <v>9.8339743587666703E+20</v>
      </c>
    </row>
    <row r="6255" spans="1:2" ht="12.9" x14ac:dyDescent="0.35">
      <c r="A6255" s="401">
        <v>46074</v>
      </c>
      <c r="B6255" s="403">
        <v>8.5419193335272505E+20</v>
      </c>
    </row>
    <row r="6256" spans="1:2" ht="12.9" x14ac:dyDescent="0.35">
      <c r="A6256" s="401">
        <v>46075</v>
      </c>
      <c r="B6256" s="404">
        <v>1.17720568966257E+21</v>
      </c>
    </row>
    <row r="6257" spans="1:2" ht="12.9" x14ac:dyDescent="0.35">
      <c r="A6257" s="401">
        <v>46076</v>
      </c>
      <c r="B6257" s="404">
        <v>1.06235635408574E+21</v>
      </c>
    </row>
    <row r="6258" spans="1:2" ht="12.9" x14ac:dyDescent="0.35">
      <c r="A6258" s="401">
        <v>46077</v>
      </c>
      <c r="B6258" s="404">
        <v>1.1843837731361299E+21</v>
      </c>
    </row>
    <row r="6259" spans="1:2" ht="12.9" x14ac:dyDescent="0.35">
      <c r="A6259" s="401">
        <v>46078</v>
      </c>
      <c r="B6259" s="404">
        <v>1.11978102187416E+21</v>
      </c>
    </row>
    <row r="6260" spans="1:2" ht="12.9" x14ac:dyDescent="0.35">
      <c r="A6260" s="401">
        <v>46079</v>
      </c>
      <c r="B6260" s="404">
        <v>1.00493168629732E+21</v>
      </c>
    </row>
    <row r="6261" spans="1:2" ht="12.9" x14ac:dyDescent="0.35">
      <c r="A6261" s="401">
        <v>46080</v>
      </c>
      <c r="B6261" s="404">
        <v>1.01210976977087E+21</v>
      </c>
    </row>
    <row r="6262" spans="1:2" ht="12.9" x14ac:dyDescent="0.35">
      <c r="A6262" s="401">
        <v>46081</v>
      </c>
      <c r="B6262" s="404">
        <v>1.02646593671798E+21</v>
      </c>
    </row>
    <row r="6263" spans="1:2" ht="12.9" x14ac:dyDescent="0.35">
      <c r="A6263" s="401">
        <v>46082</v>
      </c>
      <c r="B6263" s="404">
        <v>1.06953443755929E+21</v>
      </c>
    </row>
    <row r="6264" spans="1:2" ht="12.9" x14ac:dyDescent="0.35">
      <c r="A6264" s="401">
        <v>46083</v>
      </c>
      <c r="B6264" s="403">
        <v>9.7621935240311498E+20</v>
      </c>
    </row>
    <row r="6265" spans="1:2" ht="12.9" x14ac:dyDescent="0.35">
      <c r="A6265" s="401">
        <v>46084</v>
      </c>
      <c r="B6265" s="403">
        <v>9.6186318545600997E+20</v>
      </c>
    </row>
    <row r="6266" spans="1:2" ht="12.9" x14ac:dyDescent="0.35">
      <c r="A6266" s="401">
        <v>46085</v>
      </c>
      <c r="B6266" s="403">
        <v>9.3315085156180099E+20</v>
      </c>
    </row>
    <row r="6267" spans="1:2" ht="12.9" x14ac:dyDescent="0.35">
      <c r="A6267" s="401">
        <v>46086</v>
      </c>
      <c r="B6267" s="404">
        <v>1.1915618566096801E+21</v>
      </c>
    </row>
    <row r="6268" spans="1:2" ht="12.9" x14ac:dyDescent="0.35">
      <c r="A6268" s="401">
        <v>46087</v>
      </c>
      <c r="B6268" s="404">
        <v>1.05267243203648E+21</v>
      </c>
    </row>
    <row r="6269" spans="1:2" ht="12.9" x14ac:dyDescent="0.35">
      <c r="A6269" s="401">
        <v>46088</v>
      </c>
      <c r="B6269" s="403">
        <v>9.5173123992339402E+20</v>
      </c>
    </row>
    <row r="6270" spans="1:2" ht="12.9" x14ac:dyDescent="0.35">
      <c r="A6270" s="401">
        <v>46089</v>
      </c>
      <c r="B6270" s="403">
        <v>9.6615141022526302E+20</v>
      </c>
    </row>
    <row r="6271" spans="1:2" ht="12.9" x14ac:dyDescent="0.35">
      <c r="A6271" s="401">
        <v>46090</v>
      </c>
      <c r="B6271" s="403">
        <v>9.9499175082900206E+20</v>
      </c>
    </row>
    <row r="6272" spans="1:2" ht="12.9" x14ac:dyDescent="0.35">
      <c r="A6272" s="401">
        <v>46091</v>
      </c>
      <c r="B6272" s="403">
        <v>9.9499175082900206E+20</v>
      </c>
    </row>
    <row r="6273" spans="1:2" ht="12.9" x14ac:dyDescent="0.35">
      <c r="A6273" s="401">
        <v>46092</v>
      </c>
      <c r="B6273" s="404">
        <v>1.0022018359799299E+21</v>
      </c>
    </row>
    <row r="6274" spans="1:2" ht="12.9" x14ac:dyDescent="0.35">
      <c r="A6274" s="401">
        <v>46093</v>
      </c>
      <c r="B6274" s="403">
        <v>9.3010098447058901E+20</v>
      </c>
    </row>
    <row r="6275" spans="1:2" ht="12.9" x14ac:dyDescent="0.35">
      <c r="A6275" s="401">
        <v>46094</v>
      </c>
      <c r="B6275" s="403">
        <v>8.7242030326311105E+20</v>
      </c>
    </row>
    <row r="6276" spans="1:2" ht="12.9" x14ac:dyDescent="0.35">
      <c r="A6276" s="401">
        <v>46095</v>
      </c>
      <c r="B6276" s="403">
        <v>9.2289089931965406E+20</v>
      </c>
    </row>
    <row r="6277" spans="1:2" ht="12.9" x14ac:dyDescent="0.35">
      <c r="A6277" s="401">
        <v>46096</v>
      </c>
      <c r="B6277" s="403">
        <v>9.0126064386684997E+20</v>
      </c>
    </row>
    <row r="6278" spans="1:2" ht="12.9" x14ac:dyDescent="0.35">
      <c r="A6278" s="401">
        <v>46097</v>
      </c>
      <c r="B6278" s="403">
        <v>9.0126064386684997E+20</v>
      </c>
    </row>
    <row r="6279" spans="1:2" ht="12.9" x14ac:dyDescent="0.35">
      <c r="A6279" s="401">
        <v>46098</v>
      </c>
      <c r="B6279" s="403">
        <v>9.1568081416871897E+20</v>
      </c>
    </row>
    <row r="6280" spans="1:2" ht="12.9" x14ac:dyDescent="0.35">
      <c r="A6280" s="401">
        <v>46099</v>
      </c>
      <c r="B6280" s="404">
        <v>1.0022018359799299E+21</v>
      </c>
    </row>
    <row r="6281" spans="1:2" ht="12.9" x14ac:dyDescent="0.35">
      <c r="A6281" s="401">
        <v>46100</v>
      </c>
      <c r="B6281" s="403">
        <v>9.6615141022526302E+20</v>
      </c>
    </row>
    <row r="6282" spans="1:2" ht="12.9" x14ac:dyDescent="0.35">
      <c r="A6282" s="401">
        <v>46101</v>
      </c>
      <c r="B6282" s="403">
        <v>9.6615141022526302E+20</v>
      </c>
    </row>
    <row r="6283" spans="1:2" ht="12.9" x14ac:dyDescent="0.35">
      <c r="A6283" s="401">
        <v>46102</v>
      </c>
      <c r="B6283" s="403">
        <v>9.1782329296114903E+20</v>
      </c>
    </row>
    <row r="6284" spans="1:2" ht="12.9" x14ac:dyDescent="0.35">
      <c r="A6284" s="401">
        <v>46103</v>
      </c>
      <c r="B6284" s="404">
        <v>1.07744473521526E+21</v>
      </c>
    </row>
    <row r="6285" spans="1:2" ht="12.9" x14ac:dyDescent="0.35">
      <c r="A6285" s="401">
        <v>46104</v>
      </c>
      <c r="B6285" s="404">
        <v>1.06414294836075E+21</v>
      </c>
    </row>
    <row r="6286" spans="1:2" ht="12.9" x14ac:dyDescent="0.35">
      <c r="A6286" s="401">
        <v>46105</v>
      </c>
      <c r="B6286" s="403">
        <v>8.3136167840683799E+20</v>
      </c>
    </row>
    <row r="6287" spans="1:2" ht="12.9" x14ac:dyDescent="0.35">
      <c r="A6287" s="401">
        <v>46106</v>
      </c>
      <c r="B6287" s="404">
        <v>1.01758669436997E+21</v>
      </c>
    </row>
    <row r="6288" spans="1:2" ht="12.9" x14ac:dyDescent="0.35">
      <c r="A6288" s="401">
        <v>46107</v>
      </c>
      <c r="B6288" s="404">
        <v>1.0973974154970199E+21</v>
      </c>
    </row>
    <row r="6289" spans="1:2" ht="12.9" x14ac:dyDescent="0.35">
      <c r="A6289" s="401">
        <v>46108</v>
      </c>
      <c r="B6289" s="404">
        <v>1.01093580094271E+21</v>
      </c>
    </row>
    <row r="6290" spans="1:2" ht="12.9" x14ac:dyDescent="0.35">
      <c r="A6290" s="401">
        <v>46109</v>
      </c>
      <c r="B6290" s="404">
        <v>1.15725545634231E+21</v>
      </c>
    </row>
    <row r="6291" spans="1:2" ht="12.9" x14ac:dyDescent="0.35">
      <c r="A6291" s="401">
        <v>46110</v>
      </c>
      <c r="B6291" s="403">
        <v>9.5772865352467795E+20</v>
      </c>
    </row>
    <row r="6292" spans="1:2" ht="12.9" x14ac:dyDescent="0.35">
      <c r="A6292" s="401">
        <v>46111</v>
      </c>
      <c r="B6292" s="403">
        <v>9.0452150610664004E+20</v>
      </c>
    </row>
    <row r="6293" spans="1:2" ht="12.9" x14ac:dyDescent="0.35">
      <c r="A6293" s="401">
        <v>46112</v>
      </c>
      <c r="B6293" s="403">
        <v>9.0452150610664004E+20</v>
      </c>
    </row>
    <row r="6294" spans="1:2" ht="12.9" x14ac:dyDescent="0.35">
      <c r="A6294" s="401">
        <v>46113</v>
      </c>
      <c r="B6294" s="404">
        <v>1.07744473521526E+21</v>
      </c>
    </row>
    <row r="6295" spans="1:2" ht="12.9" x14ac:dyDescent="0.35">
      <c r="A6295" s="401">
        <v>46114</v>
      </c>
      <c r="B6295" s="403">
        <v>9.6437954695193205E+20</v>
      </c>
    </row>
    <row r="6296" spans="1:2" ht="12.9" x14ac:dyDescent="0.35">
      <c r="A6296" s="401">
        <v>46115</v>
      </c>
      <c r="B6296" s="403">
        <v>9.1186664979250505E+20</v>
      </c>
    </row>
    <row r="6297" spans="1:2" ht="12.9" x14ac:dyDescent="0.35">
      <c r="A6297" s="401">
        <v>46116</v>
      </c>
      <c r="B6297" s="403">
        <v>8.2896968162954995E+20</v>
      </c>
    </row>
    <row r="6298" spans="1:2" ht="12.9" x14ac:dyDescent="0.35">
      <c r="A6298" s="401">
        <v>46117</v>
      </c>
      <c r="B6298" s="404">
        <v>1.09838482815915E+21</v>
      </c>
    </row>
    <row r="6299" spans="1:2" ht="12.9" x14ac:dyDescent="0.35">
      <c r="A6299" s="401">
        <v>46118</v>
      </c>
      <c r="B6299" s="403">
        <v>8.8423432707152006E+20</v>
      </c>
    </row>
    <row r="6300" spans="1:2" ht="12.9" x14ac:dyDescent="0.35">
      <c r="A6300" s="401">
        <v>46119</v>
      </c>
      <c r="B6300" s="403">
        <v>9.5331513387398306E+20</v>
      </c>
    </row>
    <row r="6301" spans="1:2" ht="12.9" x14ac:dyDescent="0.35">
      <c r="A6301" s="401">
        <v>46120</v>
      </c>
      <c r="B6301" s="404">
        <v>1.02239594067644E+21</v>
      </c>
    </row>
    <row r="6302" spans="1:2" ht="12.9" x14ac:dyDescent="0.35">
      <c r="A6302" s="401">
        <v>46121</v>
      </c>
      <c r="B6302" s="403">
        <v>9.9476361795546002E+20</v>
      </c>
    </row>
    <row r="6303" spans="1:2" ht="12.9" x14ac:dyDescent="0.35">
      <c r="A6303" s="401">
        <v>46122</v>
      </c>
      <c r="B6303" s="403">
        <v>8.6351008503078099E+20</v>
      </c>
    </row>
    <row r="6304" spans="1:2" ht="12.9" x14ac:dyDescent="0.35">
      <c r="A6304" s="401">
        <v>46123</v>
      </c>
      <c r="B6304" s="403">
        <v>8.4969392367028902E+20</v>
      </c>
    </row>
    <row r="6305" spans="1:2" ht="12.9" x14ac:dyDescent="0.35">
      <c r="A6305" s="401">
        <v>46124</v>
      </c>
      <c r="B6305" s="404">
        <v>1.07075250543816E+21</v>
      </c>
    </row>
    <row r="6306" spans="1:2" ht="12.9" x14ac:dyDescent="0.35">
      <c r="A6306" s="401">
        <v>46125</v>
      </c>
      <c r="B6306" s="404">
        <v>1.02239594067644E+21</v>
      </c>
    </row>
    <row r="6307" spans="1:2" ht="12.9" x14ac:dyDescent="0.35">
      <c r="A6307" s="401">
        <v>46126</v>
      </c>
      <c r="B6307" s="404">
        <v>1.13292523156038E+21</v>
      </c>
    </row>
    <row r="6308" spans="1:2" ht="12.9" x14ac:dyDescent="0.35">
      <c r="A6308" s="401">
        <v>46127</v>
      </c>
      <c r="B6308" s="403">
        <v>8.6351008503078099E+20</v>
      </c>
    </row>
    <row r="6309" spans="1:2" ht="12.9" x14ac:dyDescent="0.35">
      <c r="A6309" s="401">
        <v>46128</v>
      </c>
      <c r="B6309" s="404">
        <v>1.05002826339743E+21</v>
      </c>
    </row>
    <row r="6310" spans="1:2" ht="12.9" x14ac:dyDescent="0.35">
      <c r="A6310" s="401">
        <v>46129</v>
      </c>
      <c r="B6310" s="403">
        <v>9.74039375914722E+20</v>
      </c>
    </row>
    <row r="6311" spans="1:2" ht="12.9" x14ac:dyDescent="0.35">
      <c r="A6311" s="401">
        <v>46130</v>
      </c>
      <c r="B6311" s="404">
        <v>1.0312900545634799E+21</v>
      </c>
    </row>
    <row r="6312" spans="1:2" ht="12.9" x14ac:dyDescent="0.35">
      <c r="A6312" s="401">
        <v>46131</v>
      </c>
      <c r="B6312" s="404">
        <v>1.0649923439283E+21</v>
      </c>
    </row>
    <row r="6313" spans="1:2" ht="12.9" x14ac:dyDescent="0.35">
      <c r="A6313" s="401">
        <v>46132</v>
      </c>
      <c r="B6313" s="403">
        <v>8.7625952348531196E+20</v>
      </c>
    </row>
    <row r="6314" spans="1:2" ht="12.9" x14ac:dyDescent="0.35">
      <c r="A6314" s="401">
        <v>46133</v>
      </c>
      <c r="B6314" s="403">
        <v>9.0996181285013199E+20</v>
      </c>
    </row>
    <row r="6315" spans="1:2" ht="12.9" x14ac:dyDescent="0.35">
      <c r="A6315" s="401">
        <v>46134</v>
      </c>
      <c r="B6315" s="403">
        <v>8.8299998135827602E+20</v>
      </c>
    </row>
    <row r="6316" spans="1:2" ht="12.9" x14ac:dyDescent="0.35">
      <c r="A6316" s="401">
        <v>46135</v>
      </c>
      <c r="B6316" s="403">
        <v>8.15595402628637E+20</v>
      </c>
    </row>
    <row r="6317" spans="1:2" ht="12.9" x14ac:dyDescent="0.35">
      <c r="A6317" s="401">
        <v>46136</v>
      </c>
      <c r="B6317" s="404">
        <v>1.00432822307162E+21</v>
      </c>
    </row>
    <row r="6318" spans="1:2" ht="12.9" x14ac:dyDescent="0.35">
      <c r="A6318" s="401">
        <v>46137</v>
      </c>
      <c r="B6318" s="403">
        <v>9.4366410221495203E+20</v>
      </c>
    </row>
    <row r="6319" spans="1:2" ht="12.9" x14ac:dyDescent="0.35">
      <c r="A6319" s="401">
        <v>46138</v>
      </c>
      <c r="B6319" s="404">
        <v>1.00432822307162E+21</v>
      </c>
    </row>
    <row r="6320" spans="1:2" ht="12.9" x14ac:dyDescent="0.35">
      <c r="A6320" s="401">
        <v>46139</v>
      </c>
      <c r="B6320" s="403">
        <v>9.3018318646902404E+20</v>
      </c>
    </row>
    <row r="6321" spans="1:2" ht="12.9" x14ac:dyDescent="0.35">
      <c r="A6321" s="401">
        <v>46140</v>
      </c>
      <c r="B6321" s="403">
        <v>9.3692364434198797E+20</v>
      </c>
    </row>
    <row r="6322" spans="1:2" ht="12.9" x14ac:dyDescent="0.35">
      <c r="A6322" s="401">
        <v>46141</v>
      </c>
      <c r="B6322" s="403">
        <v>8.5603814986642096E+20</v>
      </c>
    </row>
    <row r="6323" spans="1:2" ht="12.9" x14ac:dyDescent="0.35">
      <c r="A6323" s="401">
        <v>46142</v>
      </c>
      <c r="B6323" s="403">
        <v>9.4366410221495203E+20</v>
      </c>
    </row>
    <row r="6324" spans="1:2" ht="12.9" x14ac:dyDescent="0.35">
      <c r="A6324" s="401">
        <v>46143</v>
      </c>
      <c r="B6324" s="404">
        <v>1.0649923439283E+21</v>
      </c>
    </row>
    <row r="6325" spans="1:2" ht="12.9" x14ac:dyDescent="0.35">
      <c r="A6325" s="401">
        <v>46144</v>
      </c>
      <c r="B6325" s="403">
        <v>8.9558983692003299E+20</v>
      </c>
    </row>
    <row r="6326" spans="1:2" ht="12.9" x14ac:dyDescent="0.35">
      <c r="A6326" s="401">
        <v>46145</v>
      </c>
      <c r="B6326" s="404">
        <v>1.0009533471459101E+21</v>
      </c>
    </row>
    <row r="6327" spans="1:2" ht="12.9" x14ac:dyDescent="0.35">
      <c r="A6327" s="401">
        <v>46146</v>
      </c>
      <c r="B6327" s="403">
        <v>9.8119768897856497E+20</v>
      </c>
    </row>
    <row r="6328" spans="1:2" ht="12.9" x14ac:dyDescent="0.35">
      <c r="A6328" s="401">
        <v>46147</v>
      </c>
      <c r="B6328" s="403">
        <v>9.8778290836768306E+20</v>
      </c>
    </row>
    <row r="6329" spans="1:2" ht="12.9" x14ac:dyDescent="0.35">
      <c r="A6329" s="401">
        <v>46148</v>
      </c>
      <c r="B6329" s="403">
        <v>9.2851593386562198E+20</v>
      </c>
    </row>
    <row r="6330" spans="1:2" ht="12.9" x14ac:dyDescent="0.35">
      <c r="A6330" s="401">
        <v>46149</v>
      </c>
      <c r="B6330" s="403">
        <v>9.3510115325473994E+20</v>
      </c>
    </row>
    <row r="6331" spans="1:2" ht="12.9" x14ac:dyDescent="0.35">
      <c r="A6331" s="401">
        <v>46150</v>
      </c>
      <c r="B6331" s="403">
        <v>9.6802725020032906E+20</v>
      </c>
    </row>
    <row r="6332" spans="1:2" ht="12.9" x14ac:dyDescent="0.35">
      <c r="A6332" s="401">
        <v>46151</v>
      </c>
      <c r="B6332" s="404">
        <v>1.12607251553915E+21</v>
      </c>
    </row>
    <row r="6333" spans="1:2" ht="12.9" x14ac:dyDescent="0.35">
      <c r="A6333" s="401">
        <v>46152</v>
      </c>
      <c r="B6333" s="403">
        <v>9.8778290836768306E+20</v>
      </c>
    </row>
    <row r="6334" spans="1:2" ht="12.9" x14ac:dyDescent="0.35">
      <c r="A6334" s="401">
        <v>46153</v>
      </c>
      <c r="B6334" s="404">
        <v>1.08656119920445E+21</v>
      </c>
    </row>
    <row r="6335" spans="1:2" ht="12.9" x14ac:dyDescent="0.35">
      <c r="A6335" s="401">
        <v>46154</v>
      </c>
      <c r="B6335" s="403">
        <v>8.8241939814179694E+20</v>
      </c>
    </row>
  </sheetData>
  <mergeCells count="2">
    <mergeCell ref="H2:I2"/>
    <mergeCell ref="H11:I11"/>
  </mergeCell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5DD5-52F2-4101-AE26-2A71A306482B}">
  <sheetPr>
    <tabColor theme="9"/>
  </sheetPr>
  <dimension ref="A1:F5765"/>
  <sheetViews>
    <sheetView topLeftCell="E1" workbookViewId="0">
      <selection activeCell="D20" sqref="D20"/>
    </sheetView>
  </sheetViews>
  <sheetFormatPr defaultRowHeight="12.45" x14ac:dyDescent="0.3"/>
  <cols>
    <col min="1" max="1" width="14.07421875" bestFit="1" customWidth="1"/>
    <col min="2" max="2" width="9.765625" bestFit="1" customWidth="1"/>
    <col min="3" max="3" width="19.4609375" bestFit="1" customWidth="1"/>
    <col min="5" max="5" width="13.07421875" bestFit="1" customWidth="1"/>
    <col min="6" max="7" width="15.23046875" bestFit="1" customWidth="1"/>
  </cols>
  <sheetData>
    <row r="1" spans="1:6" x14ac:dyDescent="0.3">
      <c r="A1" t="s">
        <v>577</v>
      </c>
      <c r="B1" t="s">
        <v>606</v>
      </c>
      <c r="C1" t="s">
        <v>607</v>
      </c>
    </row>
    <row r="2" spans="1:6" x14ac:dyDescent="0.3">
      <c r="A2" s="426">
        <v>40376</v>
      </c>
      <c r="B2">
        <v>0.05</v>
      </c>
      <c r="C2" t="s">
        <v>579</v>
      </c>
      <c r="E2" s="399" t="s">
        <v>552</v>
      </c>
      <c r="F2" t="s">
        <v>5775</v>
      </c>
    </row>
    <row r="3" spans="1:6" x14ac:dyDescent="0.3">
      <c r="A3" s="426">
        <v>40377</v>
      </c>
      <c r="B3">
        <v>7.0000000000000007E-2</v>
      </c>
      <c r="C3" t="s">
        <v>579</v>
      </c>
      <c r="E3" s="406" t="s">
        <v>553</v>
      </c>
      <c r="F3">
        <v>3961.4881917808216</v>
      </c>
    </row>
    <row r="4" spans="1:6" x14ac:dyDescent="0.3">
      <c r="A4" s="426">
        <v>40378</v>
      </c>
      <c r="B4">
        <v>0.09</v>
      </c>
      <c r="C4" t="s">
        <v>579</v>
      </c>
      <c r="E4" s="407" t="s">
        <v>554</v>
      </c>
      <c r="F4">
        <v>914.75580645161278</v>
      </c>
    </row>
    <row r="5" spans="1:6" x14ac:dyDescent="0.3">
      <c r="A5" s="426">
        <v>40379</v>
      </c>
      <c r="B5">
        <v>0.08</v>
      </c>
      <c r="C5" t="s">
        <v>579</v>
      </c>
      <c r="E5" s="407" t="s">
        <v>555</v>
      </c>
      <c r="F5">
        <v>1058.2971428571429</v>
      </c>
    </row>
    <row r="6" spans="1:6" x14ac:dyDescent="0.3">
      <c r="A6" s="426">
        <v>40380</v>
      </c>
      <c r="B6">
        <v>7.0000000000000007E-2</v>
      </c>
      <c r="C6" t="s">
        <v>579</v>
      </c>
      <c r="E6" s="407" t="s">
        <v>556</v>
      </c>
      <c r="F6">
        <v>1130.1393548387098</v>
      </c>
    </row>
    <row r="7" spans="1:6" x14ac:dyDescent="0.3">
      <c r="A7" s="426">
        <v>40381</v>
      </c>
      <c r="B7">
        <v>0.06</v>
      </c>
      <c r="C7" t="s">
        <v>579</v>
      </c>
      <c r="E7" s="407" t="s">
        <v>557</v>
      </c>
      <c r="F7">
        <v>1212.6120000000001</v>
      </c>
    </row>
    <row r="8" spans="1:6" x14ac:dyDescent="0.3">
      <c r="A8" s="426">
        <v>40382</v>
      </c>
      <c r="B8">
        <v>0.06</v>
      </c>
      <c r="C8" t="s">
        <v>579</v>
      </c>
      <c r="E8" s="407" t="s">
        <v>558</v>
      </c>
      <c r="F8">
        <v>1885.8258064516131</v>
      </c>
    </row>
    <row r="9" spans="1:6" x14ac:dyDescent="0.3">
      <c r="A9" s="426">
        <v>40383</v>
      </c>
      <c r="B9">
        <v>0.05</v>
      </c>
      <c r="C9" t="s">
        <v>579</v>
      </c>
      <c r="E9" s="407" t="s">
        <v>559</v>
      </c>
      <c r="F9">
        <v>2618.2690000000002</v>
      </c>
    </row>
    <row r="10" spans="1:6" x14ac:dyDescent="0.3">
      <c r="A10" s="426">
        <v>40384</v>
      </c>
      <c r="B10">
        <v>0.05</v>
      </c>
      <c r="C10" t="s">
        <v>579</v>
      </c>
      <c r="E10" s="407" t="s">
        <v>560</v>
      </c>
      <c r="F10">
        <v>2497.912903225807</v>
      </c>
    </row>
    <row r="11" spans="1:6" x14ac:dyDescent="0.3">
      <c r="A11" s="426">
        <v>40385</v>
      </c>
      <c r="B11">
        <v>0.05</v>
      </c>
      <c r="C11" t="s">
        <v>579</v>
      </c>
      <c r="E11" s="407" t="s">
        <v>561</v>
      </c>
      <c r="F11">
        <v>3842.6006451612907</v>
      </c>
    </row>
    <row r="12" spans="1:6" x14ac:dyDescent="0.3">
      <c r="A12" s="426">
        <v>40386</v>
      </c>
      <c r="B12">
        <v>0.06</v>
      </c>
      <c r="C12" t="s">
        <v>579</v>
      </c>
      <c r="E12" s="407" t="s">
        <v>562</v>
      </c>
      <c r="F12">
        <v>4107.3840000000009</v>
      </c>
    </row>
    <row r="13" spans="1:6" x14ac:dyDescent="0.3">
      <c r="A13" s="426">
        <v>40387</v>
      </c>
      <c r="B13">
        <v>0.06</v>
      </c>
      <c r="C13" t="s">
        <v>579</v>
      </c>
      <c r="E13" s="407" t="s">
        <v>563</v>
      </c>
      <c r="F13">
        <v>5290.8490322580647</v>
      </c>
    </row>
    <row r="14" spans="1:6" x14ac:dyDescent="0.3">
      <c r="A14" s="426">
        <v>40388</v>
      </c>
      <c r="B14">
        <v>7.0000000000000007E-2</v>
      </c>
      <c r="C14" t="s">
        <v>579</v>
      </c>
      <c r="E14" s="407" t="s">
        <v>564</v>
      </c>
      <c r="F14">
        <v>7777.3123333333333</v>
      </c>
    </row>
    <row r="15" spans="1:6" x14ac:dyDescent="0.3">
      <c r="A15" s="426">
        <v>40389</v>
      </c>
      <c r="B15">
        <v>7.0000000000000007E-2</v>
      </c>
      <c r="C15" t="s">
        <v>579</v>
      </c>
      <c r="E15" s="407" t="s">
        <v>565</v>
      </c>
      <c r="F15">
        <v>14916.740645161291</v>
      </c>
    </row>
    <row r="16" spans="1:6" x14ac:dyDescent="0.3">
      <c r="A16" s="426">
        <v>40390</v>
      </c>
      <c r="B16">
        <v>0.06</v>
      </c>
      <c r="C16" t="s">
        <v>579</v>
      </c>
      <c r="E16" s="406" t="s">
        <v>566</v>
      </c>
      <c r="F16">
        <v>7564.3030136986263</v>
      </c>
    </row>
    <row r="17" spans="1:6" x14ac:dyDescent="0.3">
      <c r="A17" s="426">
        <v>40391</v>
      </c>
      <c r="B17">
        <v>0.06</v>
      </c>
      <c r="C17" t="s">
        <v>579</v>
      </c>
      <c r="E17" s="407" t="s">
        <v>554</v>
      </c>
      <c r="F17">
        <v>12932.994193548384</v>
      </c>
    </row>
    <row r="18" spans="1:6" x14ac:dyDescent="0.3">
      <c r="A18" s="426">
        <v>40392</v>
      </c>
      <c r="B18">
        <v>0.06</v>
      </c>
      <c r="C18" t="s">
        <v>579</v>
      </c>
      <c r="E18" s="407" t="s">
        <v>555</v>
      </c>
      <c r="F18">
        <v>9455.8653571428586</v>
      </c>
    </row>
    <row r="19" spans="1:6" x14ac:dyDescent="0.3">
      <c r="A19" s="426">
        <v>40393</v>
      </c>
      <c r="B19">
        <v>0.06</v>
      </c>
      <c r="C19" t="s">
        <v>579</v>
      </c>
      <c r="E19" s="407" t="s">
        <v>556</v>
      </c>
      <c r="F19">
        <v>9072.9616129032238</v>
      </c>
    </row>
    <row r="20" spans="1:6" x14ac:dyDescent="0.3">
      <c r="A20" s="426">
        <v>40394</v>
      </c>
      <c r="B20">
        <v>0.06</v>
      </c>
      <c r="C20" t="s">
        <v>579</v>
      </c>
      <c r="E20" s="407" t="s">
        <v>557</v>
      </c>
      <c r="F20">
        <v>7999.9553333333342</v>
      </c>
    </row>
    <row r="21" spans="1:6" x14ac:dyDescent="0.3">
      <c r="A21" s="426">
        <v>40395</v>
      </c>
      <c r="B21">
        <v>0.06</v>
      </c>
      <c r="C21" t="s">
        <v>579</v>
      </c>
      <c r="E21" s="407" t="s">
        <v>558</v>
      </c>
      <c r="F21">
        <v>8465.3522580645149</v>
      </c>
    </row>
    <row r="22" spans="1:6" x14ac:dyDescent="0.3">
      <c r="A22" s="426">
        <v>40396</v>
      </c>
      <c r="B22">
        <v>0.06</v>
      </c>
      <c r="C22" t="s">
        <v>579</v>
      </c>
      <c r="E22" s="407" t="s">
        <v>559</v>
      </c>
      <c r="F22">
        <v>6804.2123333333338</v>
      </c>
    </row>
    <row r="23" spans="1:6" x14ac:dyDescent="0.3">
      <c r="A23" s="426">
        <v>40397</v>
      </c>
      <c r="B23">
        <v>0.06</v>
      </c>
      <c r="C23" t="s">
        <v>579</v>
      </c>
      <c r="E23" s="407" t="s">
        <v>560</v>
      </c>
      <c r="F23">
        <v>7110.3577419354851</v>
      </c>
    </row>
    <row r="24" spans="1:6" x14ac:dyDescent="0.3">
      <c r="A24" s="426">
        <v>40398</v>
      </c>
      <c r="B24">
        <v>0.06</v>
      </c>
      <c r="C24" t="s">
        <v>579</v>
      </c>
      <c r="E24" s="407" t="s">
        <v>561</v>
      </c>
      <c r="F24">
        <v>6719.9070967741945</v>
      </c>
    </row>
    <row r="25" spans="1:6" x14ac:dyDescent="0.3">
      <c r="A25" s="426">
        <v>40399</v>
      </c>
      <c r="B25">
        <v>7.0000000000000007E-2</v>
      </c>
      <c r="C25" t="s">
        <v>579</v>
      </c>
      <c r="E25" s="407" t="s">
        <v>562</v>
      </c>
      <c r="F25">
        <v>6613.4976666666671</v>
      </c>
    </row>
    <row r="26" spans="1:6" x14ac:dyDescent="0.3">
      <c r="A26" s="426">
        <v>40400</v>
      </c>
      <c r="B26">
        <v>7.0000000000000007E-2</v>
      </c>
      <c r="C26" t="s">
        <v>579</v>
      </c>
      <c r="E26" s="407" t="s">
        <v>563</v>
      </c>
      <c r="F26">
        <v>6491.1929032258058</v>
      </c>
    </row>
    <row r="27" spans="1:6" x14ac:dyDescent="0.3">
      <c r="A27" s="426">
        <v>40401</v>
      </c>
      <c r="B27">
        <v>7.0000000000000007E-2</v>
      </c>
      <c r="C27" t="s">
        <v>579</v>
      </c>
      <c r="E27" s="407" t="s">
        <v>564</v>
      </c>
      <c r="F27">
        <v>5447.0209999999997</v>
      </c>
    </row>
    <row r="28" spans="1:6" x14ac:dyDescent="0.3">
      <c r="A28" s="426">
        <v>40402</v>
      </c>
      <c r="B28">
        <v>7.0000000000000007E-2</v>
      </c>
      <c r="C28" t="s">
        <v>579</v>
      </c>
      <c r="E28" s="407" t="s">
        <v>565</v>
      </c>
      <c r="F28">
        <v>3731.936774193548</v>
      </c>
    </row>
    <row r="29" spans="1:6" x14ac:dyDescent="0.3">
      <c r="A29" s="426">
        <v>40403</v>
      </c>
      <c r="B29">
        <v>7.0000000000000007E-2</v>
      </c>
      <c r="C29" t="s">
        <v>579</v>
      </c>
      <c r="E29" s="406" t="s">
        <v>567</v>
      </c>
      <c r="F29">
        <v>7385.2376164383577</v>
      </c>
    </row>
    <row r="30" spans="1:6" x14ac:dyDescent="0.3">
      <c r="A30" s="426">
        <v>40404</v>
      </c>
      <c r="B30">
        <v>7.0000000000000007E-2</v>
      </c>
      <c r="C30" t="s">
        <v>579</v>
      </c>
      <c r="E30" s="407" t="s">
        <v>554</v>
      </c>
      <c r="F30">
        <v>3698.5267741935481</v>
      </c>
    </row>
    <row r="31" spans="1:6" x14ac:dyDescent="0.3">
      <c r="A31" s="426">
        <v>40405</v>
      </c>
      <c r="B31">
        <v>7.0000000000000007E-2</v>
      </c>
      <c r="C31" t="s">
        <v>579</v>
      </c>
      <c r="E31" s="407" t="s">
        <v>555</v>
      </c>
      <c r="F31">
        <v>3699.9560714285712</v>
      </c>
    </row>
    <row r="32" spans="1:6" x14ac:dyDescent="0.3">
      <c r="A32" s="426">
        <v>40406</v>
      </c>
      <c r="B32">
        <v>0.06</v>
      </c>
      <c r="C32" t="s">
        <v>579</v>
      </c>
      <c r="E32" s="407" t="s">
        <v>556</v>
      </c>
      <c r="F32">
        <v>3973.1983870967751</v>
      </c>
    </row>
    <row r="33" spans="1:6" x14ac:dyDescent="0.3">
      <c r="A33" s="426">
        <v>40407</v>
      </c>
      <c r="B33">
        <v>7.0000000000000007E-2</v>
      </c>
      <c r="C33" t="s">
        <v>579</v>
      </c>
      <c r="E33" s="407" t="s">
        <v>557</v>
      </c>
      <c r="F33">
        <v>5169.7229999999981</v>
      </c>
    </row>
    <row r="34" spans="1:6" x14ac:dyDescent="0.3">
      <c r="A34" s="426">
        <v>40408</v>
      </c>
      <c r="B34">
        <v>7.0000000000000007E-2</v>
      </c>
      <c r="C34" t="s">
        <v>579</v>
      </c>
      <c r="E34" s="407" t="s">
        <v>558</v>
      </c>
      <c r="F34">
        <v>7246.4819354838701</v>
      </c>
    </row>
    <row r="35" spans="1:6" x14ac:dyDescent="0.3">
      <c r="A35" s="426">
        <v>40409</v>
      </c>
      <c r="B35">
        <v>7.0000000000000007E-2</v>
      </c>
      <c r="C35" t="s">
        <v>579</v>
      </c>
      <c r="E35" s="407" t="s">
        <v>559</v>
      </c>
      <c r="F35">
        <v>9388.3090000000011</v>
      </c>
    </row>
    <row r="36" spans="1:6" x14ac:dyDescent="0.3">
      <c r="A36" s="426">
        <v>40410</v>
      </c>
      <c r="B36">
        <v>7.0000000000000007E-2</v>
      </c>
      <c r="C36" t="s">
        <v>579</v>
      </c>
      <c r="E36" s="407" t="s">
        <v>560</v>
      </c>
      <c r="F36">
        <v>10686.909354838712</v>
      </c>
    </row>
    <row r="37" spans="1:6" x14ac:dyDescent="0.3">
      <c r="A37" s="426">
        <v>40411</v>
      </c>
      <c r="B37">
        <v>7.0000000000000007E-2</v>
      </c>
      <c r="C37" t="s">
        <v>579</v>
      </c>
      <c r="E37" s="407" t="s">
        <v>561</v>
      </c>
      <c r="F37">
        <v>10635.406451612902</v>
      </c>
    </row>
    <row r="38" spans="1:6" x14ac:dyDescent="0.3">
      <c r="A38" s="426">
        <v>40412</v>
      </c>
      <c r="B38">
        <v>0.06</v>
      </c>
      <c r="C38" t="s">
        <v>579</v>
      </c>
      <c r="E38" s="407" t="s">
        <v>562</v>
      </c>
      <c r="F38">
        <v>9823.4096666666665</v>
      </c>
    </row>
    <row r="39" spans="1:6" x14ac:dyDescent="0.3">
      <c r="A39" s="426">
        <v>40413</v>
      </c>
      <c r="B39">
        <v>7.0000000000000007E-2</v>
      </c>
      <c r="C39" t="s">
        <v>579</v>
      </c>
      <c r="E39" s="407" t="s">
        <v>563</v>
      </c>
      <c r="F39">
        <v>8378.7854838709682</v>
      </c>
    </row>
    <row r="40" spans="1:6" x14ac:dyDescent="0.3">
      <c r="A40" s="426">
        <v>40414</v>
      </c>
      <c r="B40">
        <v>7.0000000000000007E-2</v>
      </c>
      <c r="C40" t="s">
        <v>579</v>
      </c>
      <c r="E40" s="407" t="s">
        <v>564</v>
      </c>
      <c r="F40">
        <v>8388.48</v>
      </c>
    </row>
    <row r="41" spans="1:6" x14ac:dyDescent="0.3">
      <c r="A41" s="426">
        <v>40415</v>
      </c>
      <c r="B41">
        <v>7.0000000000000007E-2</v>
      </c>
      <c r="C41" t="s">
        <v>579</v>
      </c>
      <c r="E41" s="407" t="s">
        <v>565</v>
      </c>
      <c r="F41">
        <v>7281.1854838709678</v>
      </c>
    </row>
    <row r="42" spans="1:6" x14ac:dyDescent="0.3">
      <c r="A42" s="426">
        <v>40416</v>
      </c>
      <c r="B42">
        <v>7.0000000000000007E-2</v>
      </c>
      <c r="C42" t="s">
        <v>579</v>
      </c>
      <c r="E42" s="406" t="s">
        <v>568</v>
      </c>
      <c r="F42">
        <v>11074.638961748627</v>
      </c>
    </row>
    <row r="43" spans="1:6" x14ac:dyDescent="0.3">
      <c r="A43" s="426">
        <v>40417</v>
      </c>
      <c r="B43">
        <v>0.06</v>
      </c>
      <c r="C43" t="s">
        <v>579</v>
      </c>
      <c r="E43" s="407" t="s">
        <v>554</v>
      </c>
      <c r="F43">
        <v>8340.0945161290365</v>
      </c>
    </row>
    <row r="44" spans="1:6" x14ac:dyDescent="0.3">
      <c r="A44" s="426">
        <v>40418</v>
      </c>
      <c r="B44">
        <v>0.06</v>
      </c>
      <c r="C44" t="s">
        <v>579</v>
      </c>
      <c r="E44" s="407" t="s">
        <v>555</v>
      </c>
      <c r="F44">
        <v>9644.7544827586225</v>
      </c>
    </row>
    <row r="45" spans="1:6" x14ac:dyDescent="0.3">
      <c r="A45" s="426">
        <v>40419</v>
      </c>
      <c r="B45">
        <v>0.06</v>
      </c>
      <c r="C45" t="s">
        <v>579</v>
      </c>
      <c r="E45" s="407" t="s">
        <v>556</v>
      </c>
      <c r="F45">
        <v>6923.7009677419364</v>
      </c>
    </row>
    <row r="46" spans="1:6" x14ac:dyDescent="0.3">
      <c r="A46" s="426">
        <v>40420</v>
      </c>
      <c r="B46">
        <v>0.06</v>
      </c>
      <c r="C46" t="s">
        <v>579</v>
      </c>
      <c r="E46" s="407" t="s">
        <v>557</v>
      </c>
      <c r="F46">
        <v>7175.7306666666691</v>
      </c>
    </row>
    <row r="47" spans="1:6" x14ac:dyDescent="0.3">
      <c r="A47" s="426">
        <v>40421</v>
      </c>
      <c r="B47">
        <v>0.06</v>
      </c>
      <c r="C47" t="s">
        <v>579</v>
      </c>
      <c r="E47" s="407" t="s">
        <v>558</v>
      </c>
      <c r="F47">
        <v>9242.4216129032266</v>
      </c>
    </row>
    <row r="48" spans="1:6" x14ac:dyDescent="0.3">
      <c r="A48" s="426">
        <v>40422</v>
      </c>
      <c r="B48">
        <v>0.06</v>
      </c>
      <c r="C48" t="s">
        <v>579</v>
      </c>
      <c r="E48" s="407" t="s">
        <v>559</v>
      </c>
      <c r="F48">
        <v>9485.2073333333319</v>
      </c>
    </row>
    <row r="49" spans="1:6" x14ac:dyDescent="0.3">
      <c r="A49" s="426">
        <v>40423</v>
      </c>
      <c r="B49">
        <v>0.06</v>
      </c>
      <c r="C49" t="s">
        <v>579</v>
      </c>
      <c r="E49" s="407" t="s">
        <v>560</v>
      </c>
      <c r="F49">
        <v>9535.4822580645159</v>
      </c>
    </row>
    <row r="50" spans="1:6" x14ac:dyDescent="0.3">
      <c r="A50" s="426">
        <v>40424</v>
      </c>
      <c r="B50">
        <v>0.06</v>
      </c>
      <c r="C50" t="s">
        <v>579</v>
      </c>
      <c r="E50" s="407" t="s">
        <v>561</v>
      </c>
      <c r="F50">
        <v>11645.210645161289</v>
      </c>
    </row>
    <row r="51" spans="1:6" x14ac:dyDescent="0.3">
      <c r="A51" s="426">
        <v>40425</v>
      </c>
      <c r="B51">
        <v>0.06</v>
      </c>
      <c r="C51" t="s">
        <v>579</v>
      </c>
      <c r="E51" s="407" t="s">
        <v>562</v>
      </c>
      <c r="F51">
        <v>10695.041000000001</v>
      </c>
    </row>
    <row r="52" spans="1:6" x14ac:dyDescent="0.3">
      <c r="A52" s="426">
        <v>40426</v>
      </c>
      <c r="B52">
        <v>0.06</v>
      </c>
      <c r="C52" t="s">
        <v>579</v>
      </c>
      <c r="E52" s="407" t="s">
        <v>563</v>
      </c>
      <c r="F52">
        <v>11823.271612903227</v>
      </c>
    </row>
    <row r="53" spans="1:6" x14ac:dyDescent="0.3">
      <c r="A53" s="426">
        <v>40427</v>
      </c>
      <c r="B53">
        <v>0.06</v>
      </c>
      <c r="C53" t="s">
        <v>579</v>
      </c>
      <c r="E53" s="407" t="s">
        <v>564</v>
      </c>
      <c r="F53">
        <v>16492.302333333333</v>
      </c>
    </row>
    <row r="54" spans="1:6" x14ac:dyDescent="0.3">
      <c r="A54" s="426">
        <v>40428</v>
      </c>
      <c r="B54">
        <v>0.06</v>
      </c>
      <c r="C54" t="s">
        <v>579</v>
      </c>
      <c r="E54" s="407" t="s">
        <v>565</v>
      </c>
      <c r="F54">
        <v>21785.674516129035</v>
      </c>
    </row>
    <row r="55" spans="1:6" x14ac:dyDescent="0.3">
      <c r="A55" s="426">
        <v>40429</v>
      </c>
      <c r="B55">
        <v>0.06</v>
      </c>
      <c r="C55" t="s">
        <v>579</v>
      </c>
      <c r="E55" s="406" t="s">
        <v>569</v>
      </c>
      <c r="F55">
        <v>47379.653901098944</v>
      </c>
    </row>
    <row r="56" spans="1:6" x14ac:dyDescent="0.3">
      <c r="A56" s="426">
        <v>40430</v>
      </c>
      <c r="B56">
        <v>0.06</v>
      </c>
      <c r="C56" t="s">
        <v>579</v>
      </c>
      <c r="E56" s="407" t="s">
        <v>554</v>
      </c>
      <c r="F56">
        <v>34523.102258064515</v>
      </c>
    </row>
    <row r="57" spans="1:6" x14ac:dyDescent="0.3">
      <c r="A57" s="426">
        <v>40431</v>
      </c>
      <c r="B57">
        <v>0.06</v>
      </c>
      <c r="C57" t="s">
        <v>579</v>
      </c>
      <c r="E57" s="407" t="s">
        <v>555</v>
      </c>
      <c r="F57">
        <v>46012.173928571436</v>
      </c>
    </row>
    <row r="58" spans="1:6" x14ac:dyDescent="0.3">
      <c r="A58" s="426">
        <v>40432</v>
      </c>
      <c r="B58">
        <v>0.06</v>
      </c>
      <c r="C58" t="s">
        <v>579</v>
      </c>
      <c r="E58" s="407" t="s">
        <v>556</v>
      </c>
      <c r="F58">
        <v>54794.732258064512</v>
      </c>
    </row>
    <row r="59" spans="1:6" x14ac:dyDescent="0.3">
      <c r="A59" s="426">
        <v>40433</v>
      </c>
      <c r="B59">
        <v>0.06</v>
      </c>
      <c r="C59" t="s">
        <v>579</v>
      </c>
      <c r="E59" s="407" t="s">
        <v>557</v>
      </c>
      <c r="F59">
        <v>57270.12000000001</v>
      </c>
    </row>
    <row r="60" spans="1:6" x14ac:dyDescent="0.3">
      <c r="A60" s="426">
        <v>40434</v>
      </c>
      <c r="B60">
        <v>0.06</v>
      </c>
      <c r="C60" t="s">
        <v>579</v>
      </c>
      <c r="E60" s="407" t="s">
        <v>558</v>
      </c>
      <c r="F60">
        <v>47106.355483870975</v>
      </c>
    </row>
    <row r="61" spans="1:6" x14ac:dyDescent="0.3">
      <c r="A61" s="426">
        <v>40435</v>
      </c>
      <c r="B61">
        <v>0.06</v>
      </c>
      <c r="C61" t="s">
        <v>579</v>
      </c>
      <c r="E61" s="407" t="s">
        <v>559</v>
      </c>
      <c r="F61">
        <v>35801.68233333333</v>
      </c>
    </row>
    <row r="62" spans="1:6" x14ac:dyDescent="0.3">
      <c r="A62" s="426">
        <v>40436</v>
      </c>
      <c r="B62">
        <v>0.06</v>
      </c>
      <c r="C62" t="s">
        <v>579</v>
      </c>
      <c r="E62" s="407" t="s">
        <v>560</v>
      </c>
      <c r="F62">
        <v>34246.52774193549</v>
      </c>
    </row>
    <row r="63" spans="1:6" x14ac:dyDescent="0.3">
      <c r="A63" s="426">
        <v>40437</v>
      </c>
      <c r="B63">
        <v>0.06</v>
      </c>
      <c r="C63" t="s">
        <v>579</v>
      </c>
      <c r="E63" s="407" t="s">
        <v>561</v>
      </c>
      <c r="F63">
        <v>45526.53645161289</v>
      </c>
    </row>
    <row r="64" spans="1:6" x14ac:dyDescent="0.3">
      <c r="A64" s="426">
        <v>40438</v>
      </c>
      <c r="B64">
        <v>0.06</v>
      </c>
      <c r="C64" t="s">
        <v>579</v>
      </c>
      <c r="E64" s="407" t="s">
        <v>562</v>
      </c>
      <c r="F64">
        <v>46103.640666666673</v>
      </c>
    </row>
    <row r="65" spans="1:6" x14ac:dyDescent="0.3">
      <c r="A65" s="426">
        <v>40439</v>
      </c>
      <c r="B65">
        <v>0.06</v>
      </c>
      <c r="C65" t="s">
        <v>579</v>
      </c>
      <c r="E65" s="407" t="s">
        <v>563</v>
      </c>
      <c r="F65">
        <v>57514.844666666671</v>
      </c>
    </row>
    <row r="66" spans="1:6" x14ac:dyDescent="0.3">
      <c r="A66" s="426">
        <v>40440</v>
      </c>
      <c r="B66">
        <v>0.06</v>
      </c>
      <c r="C66" t="s">
        <v>579</v>
      </c>
      <c r="E66" s="407" t="s">
        <v>564</v>
      </c>
      <c r="F66">
        <v>60680.595333333324</v>
      </c>
    </row>
    <row r="67" spans="1:6" x14ac:dyDescent="0.3">
      <c r="A67" s="426">
        <v>40441</v>
      </c>
      <c r="B67">
        <v>0.06</v>
      </c>
      <c r="C67" t="s">
        <v>579</v>
      </c>
      <c r="E67" s="407" t="s">
        <v>565</v>
      </c>
      <c r="F67">
        <v>49503.605806451618</v>
      </c>
    </row>
    <row r="68" spans="1:6" x14ac:dyDescent="0.3">
      <c r="A68" s="426">
        <v>40442</v>
      </c>
      <c r="B68">
        <v>0.06</v>
      </c>
      <c r="C68" t="s">
        <v>579</v>
      </c>
      <c r="E68" s="406" t="s">
        <v>570</v>
      </c>
      <c r="F68">
        <v>28244.982931506802</v>
      </c>
    </row>
    <row r="69" spans="1:6" x14ac:dyDescent="0.3">
      <c r="A69" s="426">
        <v>40443</v>
      </c>
      <c r="B69">
        <v>0.06</v>
      </c>
      <c r="C69" t="s">
        <v>579</v>
      </c>
      <c r="E69" s="407" t="s">
        <v>554</v>
      </c>
      <c r="F69">
        <v>41184.947419354845</v>
      </c>
    </row>
    <row r="70" spans="1:6" x14ac:dyDescent="0.3">
      <c r="A70" s="426">
        <v>40444</v>
      </c>
      <c r="B70">
        <v>0.06</v>
      </c>
      <c r="C70" t="s">
        <v>579</v>
      </c>
      <c r="E70" s="407" t="s">
        <v>555</v>
      </c>
      <c r="F70">
        <v>40560.324642857144</v>
      </c>
    </row>
    <row r="71" spans="1:6" x14ac:dyDescent="0.3">
      <c r="A71" s="426">
        <v>40445</v>
      </c>
      <c r="B71">
        <v>0.06</v>
      </c>
      <c r="C71" t="s">
        <v>579</v>
      </c>
      <c r="E71" s="407" t="s">
        <v>556</v>
      </c>
      <c r="F71">
        <v>41944.902580645161</v>
      </c>
    </row>
    <row r="72" spans="1:6" x14ac:dyDescent="0.3">
      <c r="A72" s="426">
        <v>40446</v>
      </c>
      <c r="B72">
        <v>0.06</v>
      </c>
      <c r="C72" t="s">
        <v>579</v>
      </c>
      <c r="E72" s="407" t="s">
        <v>557</v>
      </c>
      <c r="F72">
        <v>41685.87433333334</v>
      </c>
    </row>
    <row r="73" spans="1:6" x14ac:dyDescent="0.3">
      <c r="A73" s="426">
        <v>40447</v>
      </c>
      <c r="B73">
        <v>0.06</v>
      </c>
      <c r="C73" t="s">
        <v>579</v>
      </c>
      <c r="E73" s="407" t="s">
        <v>558</v>
      </c>
      <c r="F73">
        <v>31955.399032258065</v>
      </c>
    </row>
    <row r="74" spans="1:6" x14ac:dyDescent="0.3">
      <c r="A74" s="426">
        <v>40448</v>
      </c>
      <c r="B74">
        <v>0.06</v>
      </c>
      <c r="C74" t="s">
        <v>579</v>
      </c>
      <c r="E74" s="407" t="s">
        <v>559</v>
      </c>
      <c r="F74">
        <v>24444.688666666661</v>
      </c>
    </row>
    <row r="75" spans="1:6" x14ac:dyDescent="0.3">
      <c r="A75" s="426">
        <v>40449</v>
      </c>
      <c r="B75">
        <v>0.06</v>
      </c>
      <c r="C75" t="s">
        <v>579</v>
      </c>
      <c r="E75" s="407" t="s">
        <v>560</v>
      </c>
      <c r="F75">
        <v>21422.118709677416</v>
      </c>
    </row>
    <row r="76" spans="1:6" x14ac:dyDescent="0.3">
      <c r="A76" s="426">
        <v>40450</v>
      </c>
      <c r="B76">
        <v>0.06</v>
      </c>
      <c r="C76" t="s">
        <v>579</v>
      </c>
      <c r="E76" s="407" t="s">
        <v>561</v>
      </c>
      <c r="F76">
        <v>22475.866129032263</v>
      </c>
    </row>
    <row r="77" spans="1:6" x14ac:dyDescent="0.3">
      <c r="A77" s="426">
        <v>40451</v>
      </c>
      <c r="B77">
        <v>0.06</v>
      </c>
      <c r="C77" t="s">
        <v>579</v>
      </c>
      <c r="E77" s="407" t="s">
        <v>562</v>
      </c>
      <c r="F77">
        <v>19878.557666666668</v>
      </c>
    </row>
    <row r="78" spans="1:6" x14ac:dyDescent="0.3">
      <c r="A78" s="426">
        <v>40452</v>
      </c>
      <c r="B78">
        <v>0.06</v>
      </c>
      <c r="C78" t="s">
        <v>579</v>
      </c>
      <c r="E78" s="407" t="s">
        <v>563</v>
      </c>
      <c r="F78">
        <v>19627.219032258061</v>
      </c>
    </row>
    <row r="79" spans="1:6" x14ac:dyDescent="0.3">
      <c r="A79" s="426">
        <v>40453</v>
      </c>
      <c r="B79">
        <v>0.06</v>
      </c>
      <c r="C79" t="s">
        <v>579</v>
      </c>
      <c r="E79" s="407" t="s">
        <v>564</v>
      </c>
      <c r="F79">
        <v>17693.141666666666</v>
      </c>
    </row>
    <row r="80" spans="1:6" x14ac:dyDescent="0.3">
      <c r="A80" s="426">
        <v>40454</v>
      </c>
      <c r="B80">
        <v>0.06</v>
      </c>
      <c r="C80" t="s">
        <v>579</v>
      </c>
      <c r="E80" s="407" t="s">
        <v>565</v>
      </c>
      <c r="F80">
        <v>16959.282903225809</v>
      </c>
    </row>
    <row r="81" spans="1:6" x14ac:dyDescent="0.3">
      <c r="A81" s="426">
        <v>40455</v>
      </c>
      <c r="B81">
        <v>0.06</v>
      </c>
      <c r="C81" t="s">
        <v>579</v>
      </c>
      <c r="E81" s="406" t="s">
        <v>571</v>
      </c>
      <c r="F81">
        <v>28803.275890410943</v>
      </c>
    </row>
    <row r="82" spans="1:6" x14ac:dyDescent="0.3">
      <c r="A82" s="426">
        <v>40456</v>
      </c>
      <c r="B82">
        <v>0.06</v>
      </c>
      <c r="C82" t="s">
        <v>579</v>
      </c>
      <c r="E82" s="407" t="s">
        <v>554</v>
      </c>
      <c r="F82">
        <v>20108.058387096775</v>
      </c>
    </row>
    <row r="83" spans="1:6" x14ac:dyDescent="0.3">
      <c r="A83" s="426">
        <v>40457</v>
      </c>
      <c r="B83">
        <v>0.06</v>
      </c>
      <c r="C83" t="s">
        <v>579</v>
      </c>
      <c r="E83" s="407" t="s">
        <v>555</v>
      </c>
      <c r="F83">
        <v>23312.971428571425</v>
      </c>
    </row>
    <row r="84" spans="1:6" x14ac:dyDescent="0.3">
      <c r="A84" s="426">
        <v>40458</v>
      </c>
      <c r="B84">
        <v>0.06</v>
      </c>
      <c r="C84" t="s">
        <v>579</v>
      </c>
      <c r="E84" s="407" t="s">
        <v>556</v>
      </c>
      <c r="F84">
        <v>25053.669354838712</v>
      </c>
    </row>
    <row r="85" spans="1:6" x14ac:dyDescent="0.3">
      <c r="A85" s="426">
        <v>40459</v>
      </c>
      <c r="B85">
        <v>0.08</v>
      </c>
      <c r="C85" t="s">
        <v>579</v>
      </c>
      <c r="E85" s="407" t="s">
        <v>557</v>
      </c>
      <c r="F85">
        <v>28824.595333333324</v>
      </c>
    </row>
    <row r="86" spans="1:6" x14ac:dyDescent="0.3">
      <c r="A86" s="426">
        <v>40460</v>
      </c>
      <c r="B86">
        <v>0.09</v>
      </c>
      <c r="C86" t="s">
        <v>579</v>
      </c>
      <c r="E86" s="407" t="s">
        <v>558</v>
      </c>
      <c r="F86">
        <v>27490.199354838711</v>
      </c>
    </row>
    <row r="87" spans="1:6" x14ac:dyDescent="0.3">
      <c r="A87" s="426">
        <v>40461</v>
      </c>
      <c r="B87">
        <v>0.1</v>
      </c>
      <c r="C87" t="s">
        <v>579</v>
      </c>
      <c r="E87" s="407" t="s">
        <v>559</v>
      </c>
      <c r="F87">
        <v>27650.892333333333</v>
      </c>
    </row>
    <row r="88" spans="1:6" x14ac:dyDescent="0.3">
      <c r="A88" s="426">
        <v>40462</v>
      </c>
      <c r="B88">
        <v>0.1</v>
      </c>
      <c r="C88" t="s">
        <v>579</v>
      </c>
      <c r="E88" s="407" t="s">
        <v>560</v>
      </c>
      <c r="F88">
        <v>30079.74</v>
      </c>
    </row>
    <row r="89" spans="1:6" x14ac:dyDescent="0.3">
      <c r="A89" s="426">
        <v>40463</v>
      </c>
      <c r="B89">
        <v>0.09</v>
      </c>
      <c r="C89" t="s">
        <v>579</v>
      </c>
      <c r="E89" s="407" t="s">
        <v>561</v>
      </c>
      <c r="F89">
        <v>27895.567741935483</v>
      </c>
    </row>
    <row r="90" spans="1:6" x14ac:dyDescent="0.3">
      <c r="A90" s="426">
        <v>40464</v>
      </c>
      <c r="B90">
        <v>0.1</v>
      </c>
      <c r="C90" t="s">
        <v>579</v>
      </c>
      <c r="E90" s="407" t="s">
        <v>562</v>
      </c>
      <c r="F90">
        <v>26294.335999999996</v>
      </c>
    </row>
    <row r="91" spans="1:6" x14ac:dyDescent="0.3">
      <c r="A91" s="426">
        <v>40465</v>
      </c>
      <c r="B91">
        <v>0.1</v>
      </c>
      <c r="C91" t="s">
        <v>579</v>
      </c>
      <c r="E91" s="407" t="s">
        <v>563</v>
      </c>
      <c r="F91">
        <v>29621.701935483874</v>
      </c>
    </row>
    <row r="92" spans="1:6" x14ac:dyDescent="0.3">
      <c r="A92" s="426">
        <v>40466</v>
      </c>
      <c r="B92">
        <v>0.1</v>
      </c>
      <c r="C92" t="s">
        <v>579</v>
      </c>
      <c r="E92" s="407" t="s">
        <v>564</v>
      </c>
      <c r="F92">
        <v>36496.44233333334</v>
      </c>
    </row>
    <row r="93" spans="1:6" x14ac:dyDescent="0.3">
      <c r="A93" s="426">
        <v>40467</v>
      </c>
      <c r="B93">
        <v>0.1</v>
      </c>
      <c r="C93" t="s">
        <v>579</v>
      </c>
      <c r="E93" s="407" t="s">
        <v>565</v>
      </c>
      <c r="F93">
        <v>42410.563870967744</v>
      </c>
    </row>
    <row r="94" spans="1:6" x14ac:dyDescent="0.3">
      <c r="A94" s="426">
        <v>40468</v>
      </c>
      <c r="B94">
        <v>0.1</v>
      </c>
      <c r="C94" t="s">
        <v>579</v>
      </c>
      <c r="E94" s="406" t="s">
        <v>572</v>
      </c>
      <c r="F94">
        <v>66142.092364672324</v>
      </c>
    </row>
    <row r="95" spans="1:6" x14ac:dyDescent="0.3">
      <c r="A95" s="426">
        <v>40469</v>
      </c>
      <c r="B95">
        <v>0.1</v>
      </c>
      <c r="C95" t="s">
        <v>579</v>
      </c>
      <c r="E95" s="407" t="s">
        <v>554</v>
      </c>
      <c r="F95">
        <v>42942.107741935477</v>
      </c>
    </row>
    <row r="96" spans="1:6" x14ac:dyDescent="0.3">
      <c r="A96" s="426">
        <v>40470</v>
      </c>
      <c r="B96">
        <v>0.1</v>
      </c>
      <c r="C96" t="s">
        <v>579</v>
      </c>
      <c r="E96" s="407" t="s">
        <v>555</v>
      </c>
      <c r="F96">
        <v>49488.086896551729</v>
      </c>
    </row>
    <row r="97" spans="1:6" x14ac:dyDescent="0.3">
      <c r="A97" s="426">
        <v>40471</v>
      </c>
      <c r="B97">
        <v>0.1</v>
      </c>
      <c r="C97" t="s">
        <v>579</v>
      </c>
      <c r="E97" s="407" t="s">
        <v>556</v>
      </c>
      <c r="F97">
        <v>67584.001290322587</v>
      </c>
    </row>
    <row r="98" spans="1:6" x14ac:dyDescent="0.3">
      <c r="A98" s="426">
        <v>40472</v>
      </c>
      <c r="B98">
        <v>0.1</v>
      </c>
      <c r="C98" t="s">
        <v>579</v>
      </c>
      <c r="E98" s="407" t="s">
        <v>557</v>
      </c>
      <c r="F98">
        <v>66063.855333333326</v>
      </c>
    </row>
    <row r="99" spans="1:6" x14ac:dyDescent="0.3">
      <c r="A99" s="426">
        <v>40473</v>
      </c>
      <c r="B99">
        <v>0.11</v>
      </c>
      <c r="C99" t="s">
        <v>579</v>
      </c>
      <c r="E99" s="407" t="s">
        <v>558</v>
      </c>
      <c r="F99">
        <v>65080.586129032279</v>
      </c>
    </row>
    <row r="100" spans="1:6" x14ac:dyDescent="0.3">
      <c r="A100" s="426">
        <v>40474</v>
      </c>
      <c r="B100">
        <v>0.11</v>
      </c>
      <c r="C100" t="s">
        <v>579</v>
      </c>
      <c r="E100" s="407" t="s">
        <v>559</v>
      </c>
      <c r="F100">
        <v>66022.410000000018</v>
      </c>
    </row>
    <row r="101" spans="1:6" x14ac:dyDescent="0.3">
      <c r="A101" s="426">
        <v>40475</v>
      </c>
      <c r="B101">
        <v>0.11</v>
      </c>
      <c r="C101" t="s">
        <v>579</v>
      </c>
      <c r="E101" s="407" t="s">
        <v>560</v>
      </c>
      <c r="F101">
        <v>62733.119677419367</v>
      </c>
    </row>
    <row r="102" spans="1:6" x14ac:dyDescent="0.3">
      <c r="A102" s="426">
        <v>40476</v>
      </c>
      <c r="B102">
        <v>0.15</v>
      </c>
      <c r="C102" t="s">
        <v>579</v>
      </c>
      <c r="E102" s="407" t="s">
        <v>561</v>
      </c>
      <c r="F102">
        <v>59720.333750000005</v>
      </c>
    </row>
    <row r="103" spans="1:6" x14ac:dyDescent="0.3">
      <c r="A103" s="426">
        <v>40477</v>
      </c>
      <c r="B103">
        <v>0.16</v>
      </c>
      <c r="C103" t="s">
        <v>579</v>
      </c>
      <c r="E103" s="407" t="s">
        <v>562</v>
      </c>
      <c r="F103">
        <v>60162.396000000015</v>
      </c>
    </row>
    <row r="104" spans="1:6" x14ac:dyDescent="0.3">
      <c r="A104" s="426">
        <v>40478</v>
      </c>
      <c r="B104">
        <v>0.18</v>
      </c>
      <c r="C104" t="s">
        <v>579</v>
      </c>
      <c r="E104" s="407" t="s">
        <v>563</v>
      </c>
      <c r="F104">
        <v>65578.836129032235</v>
      </c>
    </row>
    <row r="105" spans="1:6" x14ac:dyDescent="0.3">
      <c r="A105" s="426">
        <v>40479</v>
      </c>
      <c r="B105">
        <v>0.19</v>
      </c>
      <c r="C105" t="s">
        <v>579</v>
      </c>
      <c r="E105" s="407" t="s">
        <v>564</v>
      </c>
      <c r="F105">
        <v>86284.619666666636</v>
      </c>
    </row>
    <row r="106" spans="1:6" x14ac:dyDescent="0.3">
      <c r="A106" s="426">
        <v>40480</v>
      </c>
      <c r="B106">
        <v>0.19</v>
      </c>
      <c r="C106" t="s">
        <v>579</v>
      </c>
      <c r="E106" s="407" t="s">
        <v>565</v>
      </c>
      <c r="F106">
        <v>98313.482258064527</v>
      </c>
    </row>
    <row r="107" spans="1:6" x14ac:dyDescent="0.3">
      <c r="A107" s="426">
        <v>40481</v>
      </c>
      <c r="B107">
        <v>0.19</v>
      </c>
      <c r="C107" t="s">
        <v>579</v>
      </c>
      <c r="E107" s="406" t="s">
        <v>573</v>
      </c>
      <c r="F107">
        <v>101673.70178082191</v>
      </c>
    </row>
    <row r="108" spans="1:6" x14ac:dyDescent="0.3">
      <c r="A108" s="426">
        <v>40482</v>
      </c>
      <c r="B108">
        <v>0.19</v>
      </c>
      <c r="C108" t="s">
        <v>579</v>
      </c>
      <c r="E108" s="407" t="s">
        <v>554</v>
      </c>
      <c r="F108">
        <v>99963.702903225814</v>
      </c>
    </row>
    <row r="109" spans="1:6" x14ac:dyDescent="0.3">
      <c r="A109" s="426">
        <v>40483</v>
      </c>
      <c r="B109">
        <v>0.19</v>
      </c>
      <c r="C109" t="s">
        <v>579</v>
      </c>
      <c r="E109" s="407" t="s">
        <v>555</v>
      </c>
      <c r="F109">
        <v>95582.770714285711</v>
      </c>
    </row>
    <row r="110" spans="1:6" x14ac:dyDescent="0.3">
      <c r="A110" s="426">
        <v>40484</v>
      </c>
      <c r="B110">
        <v>0.19</v>
      </c>
      <c r="C110" t="s">
        <v>579</v>
      </c>
      <c r="E110" s="407" t="s">
        <v>556</v>
      </c>
      <c r="F110">
        <v>85047.335806451592</v>
      </c>
    </row>
    <row r="111" spans="1:6" x14ac:dyDescent="0.3">
      <c r="A111" s="426">
        <v>40485</v>
      </c>
      <c r="B111">
        <v>0.19</v>
      </c>
      <c r="C111" t="s">
        <v>579</v>
      </c>
      <c r="E111" s="407" t="s">
        <v>557</v>
      </c>
      <c r="F111">
        <v>86351.600333333336</v>
      </c>
    </row>
    <row r="112" spans="1:6" x14ac:dyDescent="0.3">
      <c r="A112" s="426">
        <v>40486</v>
      </c>
      <c r="B112">
        <v>0.21</v>
      </c>
      <c r="C112" t="s">
        <v>579</v>
      </c>
      <c r="E112" s="407" t="s">
        <v>558</v>
      </c>
      <c r="F112">
        <v>103401.38290322582</v>
      </c>
    </row>
    <row r="113" spans="1:6" x14ac:dyDescent="0.3">
      <c r="A113" s="426">
        <v>40487</v>
      </c>
      <c r="B113">
        <v>0.24</v>
      </c>
      <c r="C113" t="s">
        <v>579</v>
      </c>
      <c r="E113" s="407" t="s">
        <v>559</v>
      </c>
      <c r="F113">
        <v>105789.25033333333</v>
      </c>
    </row>
    <row r="114" spans="1:6" x14ac:dyDescent="0.3">
      <c r="A114" s="426">
        <v>40488</v>
      </c>
      <c r="B114">
        <v>0.28999999999999998</v>
      </c>
      <c r="C114" t="s">
        <v>579</v>
      </c>
      <c r="E114" s="407" t="s">
        <v>560</v>
      </c>
      <c r="F114">
        <v>115166.93451612904</v>
      </c>
    </row>
    <row r="115" spans="1:6" x14ac:dyDescent="0.3">
      <c r="A115" s="426">
        <v>40489</v>
      </c>
      <c r="B115">
        <v>0.36</v>
      </c>
      <c r="C115" t="s">
        <v>579</v>
      </c>
      <c r="E115" s="407" t="s">
        <v>561</v>
      </c>
      <c r="F115">
        <v>114952.16935483874</v>
      </c>
    </row>
    <row r="116" spans="1:6" x14ac:dyDescent="0.3">
      <c r="A116" s="426">
        <v>40490</v>
      </c>
      <c r="B116">
        <v>0.32</v>
      </c>
      <c r="C116" t="s">
        <v>579</v>
      </c>
      <c r="E116" s="407" t="s">
        <v>562</v>
      </c>
      <c r="F116">
        <v>113001.41533333334</v>
      </c>
    </row>
    <row r="117" spans="1:6" x14ac:dyDescent="0.3">
      <c r="A117" s="426">
        <v>40491</v>
      </c>
      <c r="B117">
        <v>0.27</v>
      </c>
      <c r="C117" t="s">
        <v>579</v>
      </c>
      <c r="E117" s="407" t="s">
        <v>563</v>
      </c>
      <c r="F117">
        <v>114389.18870967739</v>
      </c>
    </row>
    <row r="118" spans="1:6" x14ac:dyDescent="0.3">
      <c r="A118" s="426">
        <v>40492</v>
      </c>
      <c r="B118">
        <v>0.2</v>
      </c>
      <c r="C118" t="s">
        <v>579</v>
      </c>
      <c r="E118" s="407" t="s">
        <v>564</v>
      </c>
      <c r="F118">
        <v>96660.962333333315</v>
      </c>
    </row>
    <row r="119" spans="1:6" x14ac:dyDescent="0.3">
      <c r="A119" s="426">
        <v>40493</v>
      </c>
      <c r="B119">
        <v>0.22</v>
      </c>
      <c r="C119" t="s">
        <v>579</v>
      </c>
      <c r="E119" s="407" t="s">
        <v>565</v>
      </c>
      <c r="F119">
        <v>89030.470322580644</v>
      </c>
    </row>
    <row r="120" spans="1:6" x14ac:dyDescent="0.3">
      <c r="A120" s="426">
        <v>40494</v>
      </c>
      <c r="B120">
        <v>0.26</v>
      </c>
      <c r="C120" t="s">
        <v>579</v>
      </c>
      <c r="E120" s="406" t="s">
        <v>574</v>
      </c>
      <c r="F120">
        <v>76318.64796992483</v>
      </c>
    </row>
    <row r="121" spans="1:6" x14ac:dyDescent="0.3">
      <c r="A121" s="426">
        <v>40495</v>
      </c>
      <c r="B121">
        <v>0.28999999999999998</v>
      </c>
      <c r="C121" t="s">
        <v>579</v>
      </c>
      <c r="E121" s="407" t="s">
        <v>554</v>
      </c>
      <c r="F121">
        <v>90640.099677419348</v>
      </c>
    </row>
    <row r="122" spans="1:6" x14ac:dyDescent="0.3">
      <c r="A122" s="426">
        <v>40496</v>
      </c>
      <c r="B122">
        <v>0.28000000000000003</v>
      </c>
      <c r="C122" t="s">
        <v>579</v>
      </c>
      <c r="E122" s="407" t="s">
        <v>555</v>
      </c>
      <c r="F122">
        <v>69125.13</v>
      </c>
    </row>
    <row r="123" spans="1:6" x14ac:dyDescent="0.3">
      <c r="A123" s="426">
        <v>40497</v>
      </c>
      <c r="B123">
        <v>0.27</v>
      </c>
      <c r="C123" t="s">
        <v>579</v>
      </c>
      <c r="E123" s="407" t="s">
        <v>556</v>
      </c>
      <c r="F123">
        <v>69666.609999999986</v>
      </c>
    </row>
    <row r="124" spans="1:6" x14ac:dyDescent="0.3">
      <c r="A124" s="426">
        <v>40498</v>
      </c>
      <c r="B124">
        <v>0.25</v>
      </c>
      <c r="C124" t="s">
        <v>579</v>
      </c>
      <c r="E124" s="407" t="s">
        <v>557</v>
      </c>
      <c r="F124">
        <v>73458.068666666688</v>
      </c>
    </row>
    <row r="125" spans="1:6" x14ac:dyDescent="0.3">
      <c r="A125" s="426">
        <v>40499</v>
      </c>
      <c r="B125">
        <v>0.26</v>
      </c>
      <c r="C125" t="s">
        <v>579</v>
      </c>
      <c r="E125" s="407" t="s">
        <v>558</v>
      </c>
      <c r="F125">
        <v>80125.113846153821</v>
      </c>
    </row>
    <row r="126" spans="1:6" x14ac:dyDescent="0.3">
      <c r="A126" s="426">
        <v>40500</v>
      </c>
      <c r="B126">
        <v>0.27</v>
      </c>
      <c r="C126" t="s">
        <v>579</v>
      </c>
      <c r="E126" s="406" t="s">
        <v>575</v>
      </c>
      <c r="F126">
        <v>35106.288960047037</v>
      </c>
    </row>
    <row r="127" spans="1:6" x14ac:dyDescent="0.3">
      <c r="A127" s="426">
        <v>40501</v>
      </c>
      <c r="B127">
        <v>0.27</v>
      </c>
      <c r="C127" t="s">
        <v>579</v>
      </c>
    </row>
    <row r="128" spans="1:6" x14ac:dyDescent="0.3">
      <c r="A128" s="426">
        <v>40502</v>
      </c>
      <c r="B128">
        <v>0.28000000000000003</v>
      </c>
      <c r="C128" t="s">
        <v>579</v>
      </c>
    </row>
    <row r="129" spans="1:3" x14ac:dyDescent="0.3">
      <c r="A129" s="426">
        <v>40503</v>
      </c>
      <c r="B129">
        <v>0.28000000000000003</v>
      </c>
      <c r="C129" t="s">
        <v>579</v>
      </c>
    </row>
    <row r="130" spans="1:3" x14ac:dyDescent="0.3">
      <c r="A130" s="426">
        <v>40504</v>
      </c>
      <c r="B130">
        <v>0.28000000000000003</v>
      </c>
      <c r="C130" t="s">
        <v>579</v>
      </c>
    </row>
    <row r="131" spans="1:3" x14ac:dyDescent="0.3">
      <c r="A131" s="426">
        <v>40505</v>
      </c>
      <c r="B131">
        <v>0.28000000000000003</v>
      </c>
      <c r="C131" t="s">
        <v>579</v>
      </c>
    </row>
    <row r="132" spans="1:3" x14ac:dyDescent="0.3">
      <c r="A132" s="426">
        <v>40506</v>
      </c>
      <c r="B132">
        <v>0.28000000000000003</v>
      </c>
      <c r="C132" t="s">
        <v>579</v>
      </c>
    </row>
    <row r="133" spans="1:3" x14ac:dyDescent="0.3">
      <c r="A133" s="426">
        <v>40507</v>
      </c>
      <c r="B133">
        <v>0.28000000000000003</v>
      </c>
      <c r="C133" t="s">
        <v>579</v>
      </c>
    </row>
    <row r="134" spans="1:3" x14ac:dyDescent="0.3">
      <c r="A134" s="426">
        <v>40508</v>
      </c>
      <c r="B134">
        <v>0.28000000000000003</v>
      </c>
      <c r="C134" t="s">
        <v>579</v>
      </c>
    </row>
    <row r="135" spans="1:3" x14ac:dyDescent="0.3">
      <c r="A135" s="426">
        <v>40509</v>
      </c>
      <c r="B135">
        <v>0.28000000000000003</v>
      </c>
      <c r="C135" t="s">
        <v>579</v>
      </c>
    </row>
    <row r="136" spans="1:3" x14ac:dyDescent="0.3">
      <c r="A136" s="426">
        <v>40510</v>
      </c>
      <c r="B136">
        <v>0.28000000000000003</v>
      </c>
      <c r="C136" t="s">
        <v>579</v>
      </c>
    </row>
    <row r="137" spans="1:3" x14ac:dyDescent="0.3">
      <c r="A137" s="426">
        <v>40511</v>
      </c>
      <c r="B137">
        <v>0.25</v>
      </c>
      <c r="C137" t="s">
        <v>579</v>
      </c>
    </row>
    <row r="138" spans="1:3" x14ac:dyDescent="0.3">
      <c r="A138" s="426">
        <v>40512</v>
      </c>
      <c r="B138">
        <v>0.21</v>
      </c>
      <c r="C138" t="s">
        <v>579</v>
      </c>
    </row>
    <row r="139" spans="1:3" x14ac:dyDescent="0.3">
      <c r="A139" s="426">
        <v>40513</v>
      </c>
      <c r="B139">
        <v>0.21</v>
      </c>
      <c r="C139" t="s">
        <v>579</v>
      </c>
    </row>
    <row r="140" spans="1:3" x14ac:dyDescent="0.3">
      <c r="A140" s="426">
        <v>40514</v>
      </c>
      <c r="B140">
        <v>0.24</v>
      </c>
      <c r="C140" t="s">
        <v>579</v>
      </c>
    </row>
    <row r="141" spans="1:3" x14ac:dyDescent="0.3">
      <c r="A141" s="426">
        <v>40515</v>
      </c>
      <c r="B141">
        <v>0.25</v>
      </c>
      <c r="C141" t="s">
        <v>579</v>
      </c>
    </row>
    <row r="142" spans="1:3" x14ac:dyDescent="0.3">
      <c r="A142" s="426">
        <v>40516</v>
      </c>
      <c r="B142">
        <v>0.23</v>
      </c>
      <c r="C142" t="s">
        <v>579</v>
      </c>
    </row>
    <row r="143" spans="1:3" x14ac:dyDescent="0.3">
      <c r="A143" s="426">
        <v>40517</v>
      </c>
      <c r="B143">
        <v>0.21</v>
      </c>
      <c r="C143" t="s">
        <v>579</v>
      </c>
    </row>
    <row r="144" spans="1:3" x14ac:dyDescent="0.3">
      <c r="A144" s="426">
        <v>40518</v>
      </c>
      <c r="B144">
        <v>0.2</v>
      </c>
      <c r="C144" t="s">
        <v>579</v>
      </c>
    </row>
    <row r="145" spans="1:3" x14ac:dyDescent="0.3">
      <c r="A145" s="426">
        <v>40519</v>
      </c>
      <c r="B145">
        <v>0.22</v>
      </c>
      <c r="C145" t="s">
        <v>579</v>
      </c>
    </row>
    <row r="146" spans="1:3" x14ac:dyDescent="0.3">
      <c r="A146" s="426">
        <v>40520</v>
      </c>
      <c r="B146">
        <v>0.23</v>
      </c>
      <c r="C146" t="s">
        <v>579</v>
      </c>
    </row>
    <row r="147" spans="1:3" x14ac:dyDescent="0.3">
      <c r="A147" s="426">
        <v>40521</v>
      </c>
      <c r="B147">
        <v>0.21</v>
      </c>
      <c r="C147" t="s">
        <v>579</v>
      </c>
    </row>
    <row r="148" spans="1:3" x14ac:dyDescent="0.3">
      <c r="A148" s="426">
        <v>40522</v>
      </c>
      <c r="B148">
        <v>0.19</v>
      </c>
      <c r="C148" t="s">
        <v>579</v>
      </c>
    </row>
    <row r="149" spans="1:3" x14ac:dyDescent="0.3">
      <c r="A149" s="426">
        <v>40523</v>
      </c>
      <c r="B149">
        <v>0.22</v>
      </c>
      <c r="C149" t="s">
        <v>579</v>
      </c>
    </row>
    <row r="150" spans="1:3" x14ac:dyDescent="0.3">
      <c r="A150" s="426">
        <v>40524</v>
      </c>
      <c r="B150">
        <v>0.21</v>
      </c>
      <c r="C150" t="s">
        <v>579</v>
      </c>
    </row>
    <row r="151" spans="1:3" x14ac:dyDescent="0.3">
      <c r="A151" s="426">
        <v>40525</v>
      </c>
      <c r="B151">
        <v>0.22</v>
      </c>
      <c r="C151" t="s">
        <v>579</v>
      </c>
    </row>
    <row r="152" spans="1:3" x14ac:dyDescent="0.3">
      <c r="A152" s="426">
        <v>40526</v>
      </c>
      <c r="B152">
        <v>0.23</v>
      </c>
      <c r="C152" t="s">
        <v>579</v>
      </c>
    </row>
    <row r="153" spans="1:3" x14ac:dyDescent="0.3">
      <c r="A153" s="426">
        <v>40527</v>
      </c>
      <c r="B153">
        <v>0.24</v>
      </c>
      <c r="C153" t="s">
        <v>579</v>
      </c>
    </row>
    <row r="154" spans="1:3" x14ac:dyDescent="0.3">
      <c r="A154" s="426">
        <v>40528</v>
      </c>
      <c r="B154">
        <v>0.25</v>
      </c>
      <c r="C154" t="s">
        <v>579</v>
      </c>
    </row>
    <row r="155" spans="1:3" x14ac:dyDescent="0.3">
      <c r="A155" s="426">
        <v>40529</v>
      </c>
      <c r="B155">
        <v>0.25</v>
      </c>
      <c r="C155" t="s">
        <v>579</v>
      </c>
    </row>
    <row r="156" spans="1:3" x14ac:dyDescent="0.3">
      <c r="A156" s="426">
        <v>40530</v>
      </c>
      <c r="B156">
        <v>0.25</v>
      </c>
      <c r="C156" t="s">
        <v>579</v>
      </c>
    </row>
    <row r="157" spans="1:3" x14ac:dyDescent="0.3">
      <c r="A157" s="426">
        <v>40531</v>
      </c>
      <c r="B157">
        <v>0.24</v>
      </c>
      <c r="C157" t="s">
        <v>579</v>
      </c>
    </row>
    <row r="158" spans="1:3" x14ac:dyDescent="0.3">
      <c r="A158" s="426">
        <v>40532</v>
      </c>
      <c r="B158">
        <v>0.26</v>
      </c>
      <c r="C158" t="s">
        <v>579</v>
      </c>
    </row>
    <row r="159" spans="1:3" x14ac:dyDescent="0.3">
      <c r="A159" s="426">
        <v>40533</v>
      </c>
      <c r="B159">
        <v>0.25</v>
      </c>
      <c r="C159" t="s">
        <v>579</v>
      </c>
    </row>
    <row r="160" spans="1:3" x14ac:dyDescent="0.3">
      <c r="A160" s="426">
        <v>40534</v>
      </c>
      <c r="B160">
        <v>0.25</v>
      </c>
      <c r="C160" t="s">
        <v>579</v>
      </c>
    </row>
    <row r="161" spans="1:3" x14ac:dyDescent="0.3">
      <c r="A161" s="426">
        <v>40535</v>
      </c>
      <c r="B161">
        <v>0.25</v>
      </c>
      <c r="C161" t="s">
        <v>579</v>
      </c>
    </row>
    <row r="162" spans="1:3" x14ac:dyDescent="0.3">
      <c r="A162" s="426">
        <v>40536</v>
      </c>
      <c r="B162">
        <v>0.25</v>
      </c>
      <c r="C162" t="s">
        <v>579</v>
      </c>
    </row>
    <row r="163" spans="1:3" x14ac:dyDescent="0.3">
      <c r="A163" s="426">
        <v>40537</v>
      </c>
      <c r="B163">
        <v>0.25</v>
      </c>
      <c r="C163" t="s">
        <v>579</v>
      </c>
    </row>
    <row r="164" spans="1:3" x14ac:dyDescent="0.3">
      <c r="A164" s="426">
        <v>40538</v>
      </c>
      <c r="B164">
        <v>0.25</v>
      </c>
      <c r="C164" t="s">
        <v>579</v>
      </c>
    </row>
    <row r="165" spans="1:3" x14ac:dyDescent="0.3">
      <c r="A165" s="426">
        <v>40539</v>
      </c>
      <c r="B165">
        <v>0.26</v>
      </c>
      <c r="C165" t="s">
        <v>579</v>
      </c>
    </row>
    <row r="166" spans="1:3" x14ac:dyDescent="0.3">
      <c r="A166" s="426">
        <v>40540</v>
      </c>
      <c r="B166">
        <v>0.27</v>
      </c>
      <c r="C166" t="s">
        <v>579</v>
      </c>
    </row>
    <row r="167" spans="1:3" x14ac:dyDescent="0.3">
      <c r="A167" s="426">
        <v>40541</v>
      </c>
      <c r="B167">
        <v>0.28999999999999998</v>
      </c>
      <c r="C167" t="s">
        <v>579</v>
      </c>
    </row>
    <row r="168" spans="1:3" x14ac:dyDescent="0.3">
      <c r="A168" s="426">
        <v>40542</v>
      </c>
      <c r="B168">
        <v>0.3</v>
      </c>
      <c r="C168" t="s">
        <v>579</v>
      </c>
    </row>
    <row r="169" spans="1:3" x14ac:dyDescent="0.3">
      <c r="A169" s="426">
        <v>40543</v>
      </c>
      <c r="B169">
        <v>0.28999999999999998</v>
      </c>
      <c r="C169" t="s">
        <v>579</v>
      </c>
    </row>
    <row r="170" spans="1:3" x14ac:dyDescent="0.3">
      <c r="A170" s="426">
        <v>40544</v>
      </c>
      <c r="B170">
        <v>0.3</v>
      </c>
      <c r="C170" t="s">
        <v>579</v>
      </c>
    </row>
    <row r="171" spans="1:3" x14ac:dyDescent="0.3">
      <c r="A171" s="426">
        <v>40545</v>
      </c>
      <c r="B171">
        <v>0.3</v>
      </c>
      <c r="C171" t="s">
        <v>579</v>
      </c>
    </row>
    <row r="172" spans="1:3" x14ac:dyDescent="0.3">
      <c r="A172" s="426">
        <v>40546</v>
      </c>
      <c r="B172">
        <v>0.3</v>
      </c>
      <c r="C172" t="s">
        <v>579</v>
      </c>
    </row>
    <row r="173" spans="1:3" x14ac:dyDescent="0.3">
      <c r="A173" s="426">
        <v>40547</v>
      </c>
      <c r="B173">
        <v>0.28999999999999998</v>
      </c>
      <c r="C173" t="s">
        <v>579</v>
      </c>
    </row>
    <row r="174" spans="1:3" x14ac:dyDescent="0.3">
      <c r="A174" s="426">
        <v>40548</v>
      </c>
      <c r="B174">
        <v>0.3</v>
      </c>
      <c r="C174" t="s">
        <v>579</v>
      </c>
    </row>
    <row r="175" spans="1:3" x14ac:dyDescent="0.3">
      <c r="A175" s="426">
        <v>40549</v>
      </c>
      <c r="B175">
        <v>0.3</v>
      </c>
      <c r="C175" t="s">
        <v>579</v>
      </c>
    </row>
    <row r="176" spans="1:3" x14ac:dyDescent="0.3">
      <c r="A176" s="426">
        <v>40550</v>
      </c>
      <c r="B176">
        <v>0.31</v>
      </c>
      <c r="C176" t="s">
        <v>579</v>
      </c>
    </row>
    <row r="177" spans="1:3" x14ac:dyDescent="0.3">
      <c r="A177" s="426">
        <v>40551</v>
      </c>
      <c r="B177">
        <v>0.31</v>
      </c>
      <c r="C177" t="s">
        <v>579</v>
      </c>
    </row>
    <row r="178" spans="1:3" x14ac:dyDescent="0.3">
      <c r="A178" s="426">
        <v>40552</v>
      </c>
      <c r="B178">
        <v>0.32</v>
      </c>
      <c r="C178" t="s">
        <v>579</v>
      </c>
    </row>
    <row r="179" spans="1:3" x14ac:dyDescent="0.3">
      <c r="A179" s="426">
        <v>40553</v>
      </c>
      <c r="B179">
        <v>0.32</v>
      </c>
      <c r="C179" t="s">
        <v>579</v>
      </c>
    </row>
    <row r="180" spans="1:3" x14ac:dyDescent="0.3">
      <c r="A180" s="426">
        <v>40554</v>
      </c>
      <c r="B180">
        <v>0.32</v>
      </c>
      <c r="C180" t="s">
        <v>579</v>
      </c>
    </row>
    <row r="181" spans="1:3" x14ac:dyDescent="0.3">
      <c r="A181" s="426">
        <v>40555</v>
      </c>
      <c r="B181">
        <v>0.34</v>
      </c>
      <c r="C181" t="s">
        <v>579</v>
      </c>
    </row>
    <row r="182" spans="1:3" x14ac:dyDescent="0.3">
      <c r="A182" s="426">
        <v>40556</v>
      </c>
      <c r="B182">
        <v>0.36</v>
      </c>
      <c r="C182" t="s">
        <v>579</v>
      </c>
    </row>
    <row r="183" spans="1:3" x14ac:dyDescent="0.3">
      <c r="A183" s="426">
        <v>40557</v>
      </c>
      <c r="B183">
        <v>0.39</v>
      </c>
      <c r="C183" t="s">
        <v>579</v>
      </c>
    </row>
    <row r="184" spans="1:3" x14ac:dyDescent="0.3">
      <c r="A184" s="426">
        <v>40558</v>
      </c>
      <c r="B184">
        <v>0.39</v>
      </c>
      <c r="C184" t="s">
        <v>579</v>
      </c>
    </row>
    <row r="185" spans="1:3" x14ac:dyDescent="0.3">
      <c r="A185" s="426">
        <v>40559</v>
      </c>
      <c r="B185">
        <v>0.39</v>
      </c>
      <c r="C185" t="s">
        <v>579</v>
      </c>
    </row>
    <row r="186" spans="1:3" x14ac:dyDescent="0.3">
      <c r="A186" s="426">
        <v>40560</v>
      </c>
      <c r="B186">
        <v>0.35</v>
      </c>
      <c r="C186" t="s">
        <v>579</v>
      </c>
    </row>
    <row r="187" spans="1:3" x14ac:dyDescent="0.3">
      <c r="A187" s="426">
        <v>40561</v>
      </c>
      <c r="B187">
        <v>0.32</v>
      </c>
      <c r="C187" t="s">
        <v>579</v>
      </c>
    </row>
    <row r="188" spans="1:3" x14ac:dyDescent="0.3">
      <c r="A188" s="426">
        <v>40562</v>
      </c>
      <c r="B188">
        <v>0.31</v>
      </c>
      <c r="C188" t="s">
        <v>579</v>
      </c>
    </row>
    <row r="189" spans="1:3" x14ac:dyDescent="0.3">
      <c r="A189" s="426">
        <v>40563</v>
      </c>
      <c r="B189">
        <v>0.35</v>
      </c>
      <c r="C189" t="s">
        <v>579</v>
      </c>
    </row>
    <row r="190" spans="1:3" x14ac:dyDescent="0.3">
      <c r="A190" s="426">
        <v>40564</v>
      </c>
      <c r="B190">
        <v>0.4</v>
      </c>
      <c r="C190" t="s">
        <v>579</v>
      </c>
    </row>
    <row r="191" spans="1:3" x14ac:dyDescent="0.3">
      <c r="A191" s="426">
        <v>40565</v>
      </c>
      <c r="B191">
        <v>0.43</v>
      </c>
      <c r="C191" t="s">
        <v>579</v>
      </c>
    </row>
    <row r="192" spans="1:3" x14ac:dyDescent="0.3">
      <c r="A192" s="426">
        <v>40566</v>
      </c>
      <c r="B192">
        <v>0.44</v>
      </c>
      <c r="C192" t="s">
        <v>579</v>
      </c>
    </row>
    <row r="193" spans="1:3" x14ac:dyDescent="0.3">
      <c r="A193" s="426">
        <v>40567</v>
      </c>
      <c r="B193">
        <v>0.41</v>
      </c>
      <c r="C193" t="s">
        <v>579</v>
      </c>
    </row>
    <row r="194" spans="1:3" x14ac:dyDescent="0.3">
      <c r="A194" s="426">
        <v>40568</v>
      </c>
      <c r="B194">
        <v>0.42</v>
      </c>
      <c r="C194" t="s">
        <v>579</v>
      </c>
    </row>
    <row r="195" spans="1:3" x14ac:dyDescent="0.3">
      <c r="A195" s="426">
        <v>40569</v>
      </c>
      <c r="B195">
        <v>0.41</v>
      </c>
      <c r="C195" t="s">
        <v>579</v>
      </c>
    </row>
    <row r="196" spans="1:3" x14ac:dyDescent="0.3">
      <c r="A196" s="426">
        <v>40570</v>
      </c>
      <c r="B196">
        <v>0.44</v>
      </c>
      <c r="C196" t="s">
        <v>579</v>
      </c>
    </row>
    <row r="197" spans="1:3" x14ac:dyDescent="0.3">
      <c r="A197" s="426">
        <v>40571</v>
      </c>
      <c r="B197">
        <v>0.43</v>
      </c>
      <c r="C197" t="s">
        <v>579</v>
      </c>
    </row>
    <row r="198" spans="1:3" x14ac:dyDescent="0.3">
      <c r="A198" s="426">
        <v>40572</v>
      </c>
      <c r="B198">
        <v>0.44</v>
      </c>
      <c r="C198" t="s">
        <v>579</v>
      </c>
    </row>
    <row r="199" spans="1:3" x14ac:dyDescent="0.3">
      <c r="A199" s="426">
        <v>40573</v>
      </c>
      <c r="B199">
        <v>0.46</v>
      </c>
      <c r="C199" t="s">
        <v>579</v>
      </c>
    </row>
    <row r="200" spans="1:3" x14ac:dyDescent="0.3">
      <c r="A200" s="426">
        <v>40574</v>
      </c>
      <c r="B200">
        <v>0.51</v>
      </c>
      <c r="C200" t="s">
        <v>579</v>
      </c>
    </row>
    <row r="201" spans="1:3" x14ac:dyDescent="0.3">
      <c r="A201" s="426">
        <v>40575</v>
      </c>
      <c r="B201">
        <v>0.74</v>
      </c>
      <c r="C201" t="s">
        <v>608</v>
      </c>
    </row>
    <row r="202" spans="1:3" x14ac:dyDescent="0.3">
      <c r="A202" s="426">
        <v>40576</v>
      </c>
      <c r="B202">
        <v>0.73</v>
      </c>
      <c r="C202" t="s">
        <v>609</v>
      </c>
    </row>
    <row r="203" spans="1:3" x14ac:dyDescent="0.3">
      <c r="A203" s="426">
        <v>40577</v>
      </c>
      <c r="B203">
        <v>0.71</v>
      </c>
      <c r="C203" t="s">
        <v>610</v>
      </c>
    </row>
    <row r="204" spans="1:3" x14ac:dyDescent="0.3">
      <c r="A204" s="426">
        <v>40578</v>
      </c>
      <c r="B204">
        <v>0.8</v>
      </c>
      <c r="C204" t="s">
        <v>611</v>
      </c>
    </row>
    <row r="205" spans="1:3" x14ac:dyDescent="0.3">
      <c r="A205" s="426">
        <v>40579</v>
      </c>
      <c r="B205">
        <v>0.86</v>
      </c>
      <c r="C205" t="s">
        <v>612</v>
      </c>
    </row>
    <row r="206" spans="1:3" x14ac:dyDescent="0.3">
      <c r="A206" s="426">
        <v>40580</v>
      </c>
      <c r="B206">
        <v>0.87</v>
      </c>
      <c r="C206" t="s">
        <v>613</v>
      </c>
    </row>
    <row r="207" spans="1:3" x14ac:dyDescent="0.3">
      <c r="A207" s="426">
        <v>40581</v>
      </c>
      <c r="B207">
        <v>0.86</v>
      </c>
      <c r="C207" t="s">
        <v>614</v>
      </c>
    </row>
    <row r="208" spans="1:3" x14ac:dyDescent="0.3">
      <c r="A208" s="426">
        <v>40582</v>
      </c>
      <c r="B208">
        <v>0.9</v>
      </c>
      <c r="C208" t="s">
        <v>615</v>
      </c>
    </row>
    <row r="209" spans="1:3" x14ac:dyDescent="0.3">
      <c r="A209" s="426">
        <v>40583</v>
      </c>
      <c r="B209">
        <v>0.96</v>
      </c>
      <c r="C209" t="s">
        <v>616</v>
      </c>
    </row>
    <row r="210" spans="1:3" x14ac:dyDescent="0.3">
      <c r="A210" s="426">
        <v>40584</v>
      </c>
      <c r="B210">
        <v>0.96</v>
      </c>
      <c r="C210" t="s">
        <v>617</v>
      </c>
    </row>
    <row r="211" spans="1:3" x14ac:dyDescent="0.3">
      <c r="A211" s="426">
        <v>40585</v>
      </c>
      <c r="B211">
        <v>0.99</v>
      </c>
      <c r="C211" t="s">
        <v>618</v>
      </c>
    </row>
    <row r="212" spans="1:3" x14ac:dyDescent="0.3">
      <c r="A212" s="426">
        <v>40586</v>
      </c>
      <c r="B212">
        <v>1.06</v>
      </c>
      <c r="C212" t="s">
        <v>619</v>
      </c>
    </row>
    <row r="213" spans="1:3" x14ac:dyDescent="0.3">
      <c r="A213" s="426">
        <v>40587</v>
      </c>
      <c r="B213">
        <v>1.05</v>
      </c>
      <c r="C213" t="s">
        <v>620</v>
      </c>
    </row>
    <row r="214" spans="1:3" x14ac:dyDescent="0.3">
      <c r="A214" s="426">
        <v>40588</v>
      </c>
      <c r="B214">
        <v>1.06</v>
      </c>
      <c r="C214" t="s">
        <v>621</v>
      </c>
    </row>
    <row r="215" spans="1:3" x14ac:dyDescent="0.3">
      <c r="A215" s="426">
        <v>40589</v>
      </c>
      <c r="B215">
        <v>1.05</v>
      </c>
      <c r="C215" t="s">
        <v>622</v>
      </c>
    </row>
    <row r="216" spans="1:3" x14ac:dyDescent="0.3">
      <c r="A216" s="426">
        <v>40590</v>
      </c>
      <c r="B216">
        <v>1.04</v>
      </c>
      <c r="C216" t="s">
        <v>623</v>
      </c>
    </row>
    <row r="217" spans="1:3" x14ac:dyDescent="0.3">
      <c r="A217" s="426">
        <v>40591</v>
      </c>
      <c r="B217">
        <v>1.04</v>
      </c>
      <c r="C217" t="s">
        <v>624</v>
      </c>
    </row>
    <row r="218" spans="1:3" x14ac:dyDescent="0.3">
      <c r="A218" s="426">
        <v>40592</v>
      </c>
      <c r="B218">
        <v>0.89</v>
      </c>
      <c r="C218" t="s">
        <v>625</v>
      </c>
    </row>
    <row r="219" spans="1:3" x14ac:dyDescent="0.3">
      <c r="A219" s="426">
        <v>40593</v>
      </c>
      <c r="B219">
        <v>0.91</v>
      </c>
      <c r="C219" t="s">
        <v>626</v>
      </c>
    </row>
    <row r="220" spans="1:3" x14ac:dyDescent="0.3">
      <c r="A220" s="426">
        <v>40594</v>
      </c>
      <c r="B220">
        <v>0.85</v>
      </c>
      <c r="C220" t="s">
        <v>627</v>
      </c>
    </row>
    <row r="221" spans="1:3" x14ac:dyDescent="0.3">
      <c r="A221" s="426">
        <v>40595</v>
      </c>
      <c r="B221">
        <v>0.84</v>
      </c>
      <c r="C221" t="s">
        <v>628</v>
      </c>
    </row>
    <row r="222" spans="1:3" x14ac:dyDescent="0.3">
      <c r="A222" s="426">
        <v>40596</v>
      </c>
      <c r="B222">
        <v>0.88</v>
      </c>
      <c r="C222" t="s">
        <v>629</v>
      </c>
    </row>
    <row r="223" spans="1:3" x14ac:dyDescent="0.3">
      <c r="A223" s="426">
        <v>40597</v>
      </c>
      <c r="B223">
        <v>0.9</v>
      </c>
      <c r="C223" t="s">
        <v>630</v>
      </c>
    </row>
    <row r="224" spans="1:3" x14ac:dyDescent="0.3">
      <c r="A224" s="426">
        <v>40598</v>
      </c>
      <c r="B224">
        <v>0.95</v>
      </c>
      <c r="C224" t="s">
        <v>631</v>
      </c>
    </row>
    <row r="225" spans="1:3" x14ac:dyDescent="0.3">
      <c r="A225" s="426">
        <v>40599</v>
      </c>
      <c r="B225">
        <v>0.96</v>
      </c>
      <c r="C225" t="s">
        <v>632</v>
      </c>
    </row>
    <row r="226" spans="1:3" x14ac:dyDescent="0.3">
      <c r="A226" s="426">
        <v>40600</v>
      </c>
      <c r="B226">
        <v>0.94</v>
      </c>
      <c r="C226" t="s">
        <v>633</v>
      </c>
    </row>
    <row r="227" spans="1:3" x14ac:dyDescent="0.3">
      <c r="A227" s="426">
        <v>40601</v>
      </c>
      <c r="B227">
        <v>0.93</v>
      </c>
      <c r="C227" t="s">
        <v>634</v>
      </c>
    </row>
    <row r="228" spans="1:3" x14ac:dyDescent="0.3">
      <c r="A228" s="426">
        <v>40602</v>
      </c>
      <c r="B228">
        <v>0.88</v>
      </c>
      <c r="C228" t="s">
        <v>635</v>
      </c>
    </row>
    <row r="229" spans="1:3" x14ac:dyDescent="0.3">
      <c r="A229" s="426">
        <v>40603</v>
      </c>
      <c r="B229">
        <v>0.95</v>
      </c>
      <c r="C229" t="s">
        <v>636</v>
      </c>
    </row>
    <row r="230" spans="1:3" x14ac:dyDescent="0.3">
      <c r="A230" s="426">
        <v>40604</v>
      </c>
      <c r="B230">
        <v>0.92</v>
      </c>
      <c r="C230" t="s">
        <v>637</v>
      </c>
    </row>
    <row r="231" spans="1:3" x14ac:dyDescent="0.3">
      <c r="A231" s="426">
        <v>40605</v>
      </c>
      <c r="B231">
        <v>0.92</v>
      </c>
      <c r="C231" t="s">
        <v>638</v>
      </c>
    </row>
    <row r="232" spans="1:3" x14ac:dyDescent="0.3">
      <c r="A232" s="426">
        <v>40606</v>
      </c>
      <c r="B232">
        <v>0.91</v>
      </c>
      <c r="C232" t="s">
        <v>639</v>
      </c>
    </row>
    <row r="233" spans="1:3" x14ac:dyDescent="0.3">
      <c r="A233" s="426">
        <v>40607</v>
      </c>
      <c r="B233">
        <v>0.88</v>
      </c>
      <c r="C233" t="s">
        <v>640</v>
      </c>
    </row>
    <row r="234" spans="1:3" x14ac:dyDescent="0.3">
      <c r="A234" s="426">
        <v>40608</v>
      </c>
      <c r="B234">
        <v>0.85</v>
      </c>
      <c r="C234" t="s">
        <v>641</v>
      </c>
    </row>
    <row r="235" spans="1:3" x14ac:dyDescent="0.3">
      <c r="A235" s="426">
        <v>40609</v>
      </c>
      <c r="B235">
        <v>0.89</v>
      </c>
      <c r="C235" t="s">
        <v>642</v>
      </c>
    </row>
    <row r="236" spans="1:3" x14ac:dyDescent="0.3">
      <c r="A236" s="426">
        <v>40610</v>
      </c>
      <c r="B236">
        <v>0.87</v>
      </c>
      <c r="C236" t="s">
        <v>643</v>
      </c>
    </row>
    <row r="237" spans="1:3" x14ac:dyDescent="0.3">
      <c r="A237" s="426">
        <v>40611</v>
      </c>
      <c r="B237">
        <v>0.85</v>
      </c>
      <c r="C237" t="s">
        <v>644</v>
      </c>
    </row>
    <row r="238" spans="1:3" x14ac:dyDescent="0.3">
      <c r="A238" s="426">
        <v>40612</v>
      </c>
      <c r="B238">
        <v>0.89</v>
      </c>
      <c r="C238" t="s">
        <v>645</v>
      </c>
    </row>
    <row r="239" spans="1:3" x14ac:dyDescent="0.3">
      <c r="A239" s="426">
        <v>40613</v>
      </c>
      <c r="B239">
        <v>0.89</v>
      </c>
      <c r="C239" t="s">
        <v>646</v>
      </c>
    </row>
    <row r="240" spans="1:3" x14ac:dyDescent="0.3">
      <c r="A240" s="426">
        <v>40614</v>
      </c>
      <c r="B240">
        <v>0.9</v>
      </c>
      <c r="C240" t="s">
        <v>647</v>
      </c>
    </row>
    <row r="241" spans="1:3" x14ac:dyDescent="0.3">
      <c r="A241" s="426">
        <v>40615</v>
      </c>
      <c r="B241">
        <v>0.9</v>
      </c>
      <c r="C241" t="s">
        <v>648</v>
      </c>
    </row>
    <row r="242" spans="1:3" x14ac:dyDescent="0.3">
      <c r="A242" s="426">
        <v>40616</v>
      </c>
      <c r="B242">
        <v>0.89</v>
      </c>
      <c r="C242" t="s">
        <v>649</v>
      </c>
    </row>
    <row r="243" spans="1:3" x14ac:dyDescent="0.3">
      <c r="A243" s="426">
        <v>40617</v>
      </c>
      <c r="B243">
        <v>0.88</v>
      </c>
      <c r="C243" t="s">
        <v>650</v>
      </c>
    </row>
    <row r="244" spans="1:3" x14ac:dyDescent="0.3">
      <c r="A244" s="426">
        <v>40618</v>
      </c>
      <c r="B244">
        <v>0.85</v>
      </c>
      <c r="C244" t="s">
        <v>651</v>
      </c>
    </row>
    <row r="245" spans="1:3" x14ac:dyDescent="0.3">
      <c r="A245" s="426">
        <v>40619</v>
      </c>
      <c r="B245">
        <v>0.84</v>
      </c>
      <c r="C245" t="s">
        <v>652</v>
      </c>
    </row>
    <row r="246" spans="1:3" x14ac:dyDescent="0.3">
      <c r="A246" s="426">
        <v>40620</v>
      </c>
      <c r="B246">
        <v>0.77</v>
      </c>
      <c r="C246" t="s">
        <v>653</v>
      </c>
    </row>
    <row r="247" spans="1:3" x14ac:dyDescent="0.3">
      <c r="A247" s="426">
        <v>40621</v>
      </c>
      <c r="B247">
        <v>0.76</v>
      </c>
      <c r="C247" t="s">
        <v>654</v>
      </c>
    </row>
    <row r="248" spans="1:3" x14ac:dyDescent="0.3">
      <c r="A248" s="426">
        <v>40622</v>
      </c>
      <c r="B248">
        <v>0.77</v>
      </c>
      <c r="C248" t="s">
        <v>655</v>
      </c>
    </row>
    <row r="249" spans="1:3" x14ac:dyDescent="0.3">
      <c r="A249" s="426">
        <v>40623</v>
      </c>
      <c r="B249">
        <v>0.75</v>
      </c>
      <c r="C249" t="s">
        <v>656</v>
      </c>
    </row>
    <row r="250" spans="1:3" x14ac:dyDescent="0.3">
      <c r="A250" s="426">
        <v>40624</v>
      </c>
      <c r="B250">
        <v>0.78</v>
      </c>
      <c r="C250" t="s">
        <v>657</v>
      </c>
    </row>
    <row r="251" spans="1:3" x14ac:dyDescent="0.3">
      <c r="A251" s="426">
        <v>40625</v>
      </c>
      <c r="B251">
        <v>0.83</v>
      </c>
      <c r="C251" t="s">
        <v>658</v>
      </c>
    </row>
    <row r="252" spans="1:3" x14ac:dyDescent="0.3">
      <c r="A252" s="426">
        <v>40626</v>
      </c>
      <c r="B252">
        <v>0.88</v>
      </c>
      <c r="C252" t="s">
        <v>659</v>
      </c>
    </row>
    <row r="253" spans="1:3" x14ac:dyDescent="0.3">
      <c r="A253" s="426">
        <v>40627</v>
      </c>
      <c r="B253">
        <v>0.88</v>
      </c>
      <c r="C253" t="s">
        <v>660</v>
      </c>
    </row>
    <row r="254" spans="1:3" x14ac:dyDescent="0.3">
      <c r="A254" s="426">
        <v>40628</v>
      </c>
      <c r="B254">
        <v>0.87</v>
      </c>
      <c r="C254" t="s">
        <v>661</v>
      </c>
    </row>
    <row r="255" spans="1:3" x14ac:dyDescent="0.3">
      <c r="A255" s="426">
        <v>40629</v>
      </c>
      <c r="B255">
        <v>0.83</v>
      </c>
      <c r="C255" t="s">
        <v>662</v>
      </c>
    </row>
    <row r="256" spans="1:3" x14ac:dyDescent="0.3">
      <c r="A256" s="426">
        <v>40630</v>
      </c>
      <c r="B256">
        <v>0.81</v>
      </c>
      <c r="C256" t="s">
        <v>663</v>
      </c>
    </row>
    <row r="257" spans="1:3" x14ac:dyDescent="0.3">
      <c r="A257" s="426">
        <v>40631</v>
      </c>
      <c r="B257">
        <v>0.79</v>
      </c>
      <c r="C257" t="s">
        <v>664</v>
      </c>
    </row>
    <row r="258" spans="1:3" x14ac:dyDescent="0.3">
      <c r="A258" s="426">
        <v>40632</v>
      </c>
      <c r="B258">
        <v>0.79</v>
      </c>
      <c r="C258" t="s">
        <v>665</v>
      </c>
    </row>
    <row r="259" spans="1:3" x14ac:dyDescent="0.3">
      <c r="A259" s="426">
        <v>40633</v>
      </c>
      <c r="B259">
        <v>0.79</v>
      </c>
      <c r="C259" t="s">
        <v>666</v>
      </c>
    </row>
    <row r="260" spans="1:3" x14ac:dyDescent="0.3">
      <c r="A260" s="426">
        <v>40634</v>
      </c>
      <c r="B260">
        <v>0.78</v>
      </c>
      <c r="C260" t="s">
        <v>667</v>
      </c>
    </row>
    <row r="261" spans="1:3" x14ac:dyDescent="0.3">
      <c r="A261" s="426">
        <v>40635</v>
      </c>
      <c r="B261">
        <v>0.79</v>
      </c>
      <c r="C261" t="s">
        <v>668</v>
      </c>
    </row>
    <row r="262" spans="1:3" x14ac:dyDescent="0.3">
      <c r="A262" s="426">
        <v>40636</v>
      </c>
      <c r="B262">
        <v>0.78</v>
      </c>
      <c r="C262" t="s">
        <v>669</v>
      </c>
    </row>
    <row r="263" spans="1:3" x14ac:dyDescent="0.3">
      <c r="A263" s="426">
        <v>40637</v>
      </c>
      <c r="B263">
        <v>0.69</v>
      </c>
      <c r="C263" t="s">
        <v>670</v>
      </c>
    </row>
    <row r="264" spans="1:3" x14ac:dyDescent="0.3">
      <c r="A264" s="426">
        <v>40638</v>
      </c>
      <c r="B264">
        <v>0.67</v>
      </c>
      <c r="C264" t="s">
        <v>671</v>
      </c>
    </row>
    <row r="265" spans="1:3" x14ac:dyDescent="0.3">
      <c r="A265" s="426">
        <v>40639</v>
      </c>
      <c r="B265">
        <v>0.72</v>
      </c>
      <c r="C265" t="s">
        <v>672</v>
      </c>
    </row>
    <row r="266" spans="1:3" x14ac:dyDescent="0.3">
      <c r="A266" s="426">
        <v>40640</v>
      </c>
      <c r="B266">
        <v>0.75</v>
      </c>
      <c r="C266" t="s">
        <v>673</v>
      </c>
    </row>
    <row r="267" spans="1:3" x14ac:dyDescent="0.3">
      <c r="A267" s="426">
        <v>40641</v>
      </c>
      <c r="B267">
        <v>0.76</v>
      </c>
      <c r="C267" t="s">
        <v>674</v>
      </c>
    </row>
    <row r="268" spans="1:3" x14ac:dyDescent="0.3">
      <c r="A268" s="426">
        <v>40642</v>
      </c>
      <c r="B268">
        <v>0.74</v>
      </c>
      <c r="C268" t="s">
        <v>675</v>
      </c>
    </row>
    <row r="269" spans="1:3" x14ac:dyDescent="0.3">
      <c r="A269" s="426">
        <v>40643</v>
      </c>
      <c r="B269">
        <v>0.74</v>
      </c>
      <c r="C269" t="s">
        <v>676</v>
      </c>
    </row>
    <row r="270" spans="1:3" x14ac:dyDescent="0.3">
      <c r="A270" s="426">
        <v>40644</v>
      </c>
      <c r="B270">
        <v>0.77</v>
      </c>
      <c r="C270" t="s">
        <v>677</v>
      </c>
    </row>
    <row r="271" spans="1:3" x14ac:dyDescent="0.3">
      <c r="A271" s="426">
        <v>40645</v>
      </c>
      <c r="B271">
        <v>0.85</v>
      </c>
      <c r="C271" t="s">
        <v>678</v>
      </c>
    </row>
    <row r="272" spans="1:3" x14ac:dyDescent="0.3">
      <c r="A272" s="426">
        <v>40646</v>
      </c>
      <c r="B272">
        <v>0.93</v>
      </c>
      <c r="C272" t="s">
        <v>679</v>
      </c>
    </row>
    <row r="273" spans="1:3" x14ac:dyDescent="0.3">
      <c r="A273" s="426">
        <v>40647</v>
      </c>
      <c r="B273">
        <v>0.95</v>
      </c>
      <c r="C273" t="s">
        <v>680</v>
      </c>
    </row>
    <row r="274" spans="1:3" x14ac:dyDescent="0.3">
      <c r="A274" s="426">
        <v>40648</v>
      </c>
      <c r="B274">
        <v>1</v>
      </c>
      <c r="C274" t="s">
        <v>681</v>
      </c>
    </row>
    <row r="275" spans="1:3" x14ac:dyDescent="0.3">
      <c r="A275" s="426">
        <v>40649</v>
      </c>
      <c r="B275">
        <v>1.04</v>
      </c>
      <c r="C275" t="s">
        <v>682</v>
      </c>
    </row>
    <row r="276" spans="1:3" x14ac:dyDescent="0.3">
      <c r="A276" s="426">
        <v>40650</v>
      </c>
      <c r="B276">
        <v>1.08</v>
      </c>
      <c r="C276" t="s">
        <v>683</v>
      </c>
    </row>
    <row r="277" spans="1:3" x14ac:dyDescent="0.3">
      <c r="A277" s="426">
        <v>40651</v>
      </c>
      <c r="B277">
        <v>1.1499999999999999</v>
      </c>
      <c r="C277" t="s">
        <v>684</v>
      </c>
    </row>
    <row r="278" spans="1:3" x14ac:dyDescent="0.3">
      <c r="A278" s="426">
        <v>40652</v>
      </c>
      <c r="B278">
        <v>1.18</v>
      </c>
      <c r="C278" t="s">
        <v>685</v>
      </c>
    </row>
    <row r="279" spans="1:3" x14ac:dyDescent="0.3">
      <c r="A279" s="426">
        <v>40653</v>
      </c>
      <c r="B279">
        <v>1.1599999999999999</v>
      </c>
      <c r="C279" t="s">
        <v>686</v>
      </c>
    </row>
    <row r="280" spans="1:3" x14ac:dyDescent="0.3">
      <c r="A280" s="426">
        <v>40654</v>
      </c>
      <c r="B280">
        <v>1.18</v>
      </c>
      <c r="C280" t="s">
        <v>687</v>
      </c>
    </row>
    <row r="281" spans="1:3" x14ac:dyDescent="0.3">
      <c r="A281" s="426">
        <v>40655</v>
      </c>
      <c r="B281">
        <v>1.29</v>
      </c>
      <c r="C281" t="s">
        <v>688</v>
      </c>
    </row>
    <row r="282" spans="1:3" x14ac:dyDescent="0.3">
      <c r="A282" s="426">
        <v>40656</v>
      </c>
      <c r="B282">
        <v>1.55</v>
      </c>
      <c r="C282" t="s">
        <v>689</v>
      </c>
    </row>
    <row r="283" spans="1:3" x14ac:dyDescent="0.3">
      <c r="A283" s="426">
        <v>40657</v>
      </c>
      <c r="B283">
        <v>1.67</v>
      </c>
      <c r="C283" t="s">
        <v>690</v>
      </c>
    </row>
    <row r="284" spans="1:3" x14ac:dyDescent="0.3">
      <c r="A284" s="426">
        <v>40658</v>
      </c>
      <c r="B284">
        <v>1.58</v>
      </c>
      <c r="C284" t="s">
        <v>691</v>
      </c>
    </row>
    <row r="285" spans="1:3" x14ac:dyDescent="0.3">
      <c r="A285" s="426">
        <v>40659</v>
      </c>
      <c r="B285">
        <v>1.67</v>
      </c>
      <c r="C285" t="s">
        <v>692</v>
      </c>
    </row>
    <row r="286" spans="1:3" x14ac:dyDescent="0.3">
      <c r="A286" s="426">
        <v>40660</v>
      </c>
      <c r="B286">
        <v>1.89</v>
      </c>
      <c r="C286" t="s">
        <v>693</v>
      </c>
    </row>
    <row r="287" spans="1:3" x14ac:dyDescent="0.3">
      <c r="A287" s="426">
        <v>40661</v>
      </c>
      <c r="B287">
        <v>2.0299999999999998</v>
      </c>
      <c r="C287" t="s">
        <v>694</v>
      </c>
    </row>
    <row r="288" spans="1:3" x14ac:dyDescent="0.3">
      <c r="A288" s="426">
        <v>40662</v>
      </c>
      <c r="B288">
        <v>2.59</v>
      </c>
      <c r="C288" t="s">
        <v>695</v>
      </c>
    </row>
    <row r="289" spans="1:3" x14ac:dyDescent="0.3">
      <c r="A289" s="426">
        <v>40663</v>
      </c>
      <c r="B289">
        <v>3.29</v>
      </c>
      <c r="C289" t="s">
        <v>696</v>
      </c>
    </row>
    <row r="290" spans="1:3" x14ac:dyDescent="0.3">
      <c r="A290" s="426">
        <v>40664</v>
      </c>
      <c r="B290">
        <v>3.14</v>
      </c>
      <c r="C290" t="s">
        <v>697</v>
      </c>
    </row>
    <row r="291" spans="1:3" x14ac:dyDescent="0.3">
      <c r="A291" s="426">
        <v>40665</v>
      </c>
      <c r="B291">
        <v>3.24</v>
      </c>
      <c r="C291" t="s">
        <v>698</v>
      </c>
    </row>
    <row r="292" spans="1:3" x14ac:dyDescent="0.3">
      <c r="A292" s="426">
        <v>40666</v>
      </c>
      <c r="B292">
        <v>3.32</v>
      </c>
      <c r="C292" t="s">
        <v>699</v>
      </c>
    </row>
    <row r="293" spans="1:3" x14ac:dyDescent="0.3">
      <c r="A293" s="426">
        <v>40667</v>
      </c>
      <c r="B293">
        <v>3.44</v>
      </c>
      <c r="C293" t="s">
        <v>700</v>
      </c>
    </row>
    <row r="294" spans="1:3" x14ac:dyDescent="0.3">
      <c r="A294" s="426">
        <v>40668</v>
      </c>
      <c r="B294">
        <v>3.41</v>
      </c>
      <c r="C294" t="s">
        <v>701</v>
      </c>
    </row>
    <row r="295" spans="1:3" x14ac:dyDescent="0.3">
      <c r="A295" s="426">
        <v>40669</v>
      </c>
      <c r="B295">
        <v>3.48</v>
      </c>
      <c r="C295" t="s">
        <v>702</v>
      </c>
    </row>
    <row r="296" spans="1:3" x14ac:dyDescent="0.3">
      <c r="A296" s="426">
        <v>40670</v>
      </c>
      <c r="B296">
        <v>3.61</v>
      </c>
      <c r="C296" t="s">
        <v>703</v>
      </c>
    </row>
    <row r="297" spans="1:3" x14ac:dyDescent="0.3">
      <c r="A297" s="426">
        <v>40671</v>
      </c>
      <c r="B297">
        <v>3.77</v>
      </c>
      <c r="C297" t="s">
        <v>704</v>
      </c>
    </row>
    <row r="298" spans="1:3" x14ac:dyDescent="0.3">
      <c r="A298" s="426">
        <v>40672</v>
      </c>
      <c r="B298">
        <v>3.8</v>
      </c>
      <c r="C298" t="s">
        <v>705</v>
      </c>
    </row>
    <row r="299" spans="1:3" x14ac:dyDescent="0.3">
      <c r="A299" s="426">
        <v>40673</v>
      </c>
      <c r="B299">
        <v>4.74</v>
      </c>
      <c r="C299" t="s">
        <v>706</v>
      </c>
    </row>
    <row r="300" spans="1:3" x14ac:dyDescent="0.3">
      <c r="A300" s="426">
        <v>40674</v>
      </c>
      <c r="B300">
        <v>5.35</v>
      </c>
      <c r="C300" t="s">
        <v>707</v>
      </c>
    </row>
    <row r="301" spans="1:3" x14ac:dyDescent="0.3">
      <c r="A301" s="426">
        <v>40675</v>
      </c>
      <c r="B301">
        <v>5.83</v>
      </c>
      <c r="C301" t="s">
        <v>708</v>
      </c>
    </row>
    <row r="302" spans="1:3" x14ac:dyDescent="0.3">
      <c r="A302" s="426">
        <v>40676</v>
      </c>
      <c r="B302">
        <v>7.48</v>
      </c>
      <c r="C302" t="s">
        <v>709</v>
      </c>
    </row>
    <row r="303" spans="1:3" x14ac:dyDescent="0.3">
      <c r="A303" s="426">
        <v>40677</v>
      </c>
      <c r="B303">
        <v>7.86</v>
      </c>
      <c r="C303" t="s">
        <v>710</v>
      </c>
    </row>
    <row r="304" spans="1:3" x14ac:dyDescent="0.3">
      <c r="A304" s="426">
        <v>40678</v>
      </c>
      <c r="B304">
        <v>6.74</v>
      </c>
      <c r="C304" t="s">
        <v>711</v>
      </c>
    </row>
    <row r="305" spans="1:3" x14ac:dyDescent="0.3">
      <c r="A305" s="426">
        <v>40679</v>
      </c>
      <c r="B305">
        <v>7.77</v>
      </c>
      <c r="C305" t="s">
        <v>712</v>
      </c>
    </row>
    <row r="306" spans="1:3" x14ac:dyDescent="0.3">
      <c r="A306" s="426">
        <v>40680</v>
      </c>
      <c r="B306">
        <v>7.52</v>
      </c>
      <c r="C306" t="s">
        <v>713</v>
      </c>
    </row>
    <row r="307" spans="1:3" x14ac:dyDescent="0.3">
      <c r="A307" s="426">
        <v>40681</v>
      </c>
      <c r="B307">
        <v>7.14</v>
      </c>
      <c r="C307" t="s">
        <v>714</v>
      </c>
    </row>
    <row r="308" spans="1:3" x14ac:dyDescent="0.3">
      <c r="A308" s="426">
        <v>40682</v>
      </c>
      <c r="B308">
        <v>6.96</v>
      </c>
      <c r="C308" t="s">
        <v>715</v>
      </c>
    </row>
    <row r="309" spans="1:3" x14ac:dyDescent="0.3">
      <c r="A309" s="426">
        <v>40683</v>
      </c>
      <c r="B309">
        <v>6.28</v>
      </c>
      <c r="C309" t="s">
        <v>716</v>
      </c>
    </row>
    <row r="310" spans="1:3" x14ac:dyDescent="0.3">
      <c r="A310" s="426">
        <v>40684</v>
      </c>
      <c r="B310">
        <v>5.97</v>
      </c>
      <c r="C310" t="s">
        <v>717</v>
      </c>
    </row>
    <row r="311" spans="1:3" x14ac:dyDescent="0.3">
      <c r="A311" s="426">
        <v>40685</v>
      </c>
      <c r="B311">
        <v>6.47</v>
      </c>
      <c r="C311" t="s">
        <v>718</v>
      </c>
    </row>
    <row r="312" spans="1:3" x14ac:dyDescent="0.3">
      <c r="A312" s="426">
        <v>40686</v>
      </c>
      <c r="B312">
        <v>7.1</v>
      </c>
      <c r="C312" t="s">
        <v>719</v>
      </c>
    </row>
    <row r="313" spans="1:3" x14ac:dyDescent="0.3">
      <c r="A313" s="426">
        <v>40687</v>
      </c>
      <c r="B313">
        <v>7.23</v>
      </c>
      <c r="C313" t="s">
        <v>720</v>
      </c>
    </row>
    <row r="314" spans="1:3" x14ac:dyDescent="0.3">
      <c r="A314" s="426">
        <v>40688</v>
      </c>
      <c r="B314">
        <v>7.98</v>
      </c>
      <c r="C314" t="s">
        <v>721</v>
      </c>
    </row>
    <row r="315" spans="1:3" x14ac:dyDescent="0.3">
      <c r="A315" s="426">
        <v>40689</v>
      </c>
      <c r="B315">
        <v>8.5500000000000007</v>
      </c>
      <c r="C315" t="s">
        <v>722</v>
      </c>
    </row>
    <row r="316" spans="1:3" x14ac:dyDescent="0.3">
      <c r="A316" s="426">
        <v>40690</v>
      </c>
      <c r="B316">
        <v>8.67</v>
      </c>
      <c r="C316" t="s">
        <v>723</v>
      </c>
    </row>
    <row r="317" spans="1:3" x14ac:dyDescent="0.3">
      <c r="A317" s="426">
        <v>40691</v>
      </c>
      <c r="B317">
        <v>8.4499999999999993</v>
      </c>
      <c r="C317" t="s">
        <v>724</v>
      </c>
    </row>
    <row r="318" spans="1:3" x14ac:dyDescent="0.3">
      <c r="A318" s="426">
        <v>40692</v>
      </c>
      <c r="B318">
        <v>8.3000000000000007</v>
      </c>
      <c r="C318" t="s">
        <v>725</v>
      </c>
    </row>
    <row r="319" spans="1:3" x14ac:dyDescent="0.3">
      <c r="A319" s="426">
        <v>40693</v>
      </c>
      <c r="B319">
        <v>8.7200000000000006</v>
      </c>
      <c r="C319" t="s">
        <v>726</v>
      </c>
    </row>
    <row r="320" spans="1:3" x14ac:dyDescent="0.3">
      <c r="A320" s="426">
        <v>40694</v>
      </c>
      <c r="B320">
        <v>8.8800000000000008</v>
      </c>
      <c r="C320" t="s">
        <v>727</v>
      </c>
    </row>
    <row r="321" spans="1:3" x14ac:dyDescent="0.3">
      <c r="A321" s="426">
        <v>40695</v>
      </c>
      <c r="B321">
        <v>9.2100000000000009</v>
      </c>
      <c r="C321" t="s">
        <v>728</v>
      </c>
    </row>
    <row r="322" spans="1:3" x14ac:dyDescent="0.3">
      <c r="A322" s="426">
        <v>40696</v>
      </c>
      <c r="B322">
        <v>10.11</v>
      </c>
      <c r="C322" t="s">
        <v>729</v>
      </c>
    </row>
    <row r="323" spans="1:3" x14ac:dyDescent="0.3">
      <c r="A323" s="426">
        <v>40697</v>
      </c>
      <c r="B323">
        <v>13.08</v>
      </c>
      <c r="C323" t="s">
        <v>730</v>
      </c>
    </row>
    <row r="324" spans="1:3" x14ac:dyDescent="0.3">
      <c r="A324" s="426">
        <v>40698</v>
      </c>
      <c r="B324">
        <v>16.41</v>
      </c>
      <c r="C324" t="s">
        <v>731</v>
      </c>
    </row>
    <row r="325" spans="1:3" x14ac:dyDescent="0.3">
      <c r="A325" s="426">
        <v>40699</v>
      </c>
      <c r="B325">
        <v>17.32</v>
      </c>
      <c r="C325" t="s">
        <v>732</v>
      </c>
    </row>
    <row r="326" spans="1:3" x14ac:dyDescent="0.3">
      <c r="A326" s="426">
        <v>40700</v>
      </c>
      <c r="B326">
        <v>18.46</v>
      </c>
      <c r="C326" t="s">
        <v>733</v>
      </c>
    </row>
    <row r="327" spans="1:3" x14ac:dyDescent="0.3">
      <c r="A327" s="426">
        <v>40701</v>
      </c>
      <c r="B327">
        <v>19.899999999999999</v>
      </c>
      <c r="C327" t="s">
        <v>734</v>
      </c>
    </row>
    <row r="328" spans="1:3" x14ac:dyDescent="0.3">
      <c r="A328" s="426">
        <v>40702</v>
      </c>
      <c r="B328">
        <v>27.25</v>
      </c>
      <c r="C328" t="s">
        <v>735</v>
      </c>
    </row>
    <row r="329" spans="1:3" x14ac:dyDescent="0.3">
      <c r="A329" s="426">
        <v>40703</v>
      </c>
      <c r="B329">
        <v>29.58</v>
      </c>
      <c r="C329" t="s">
        <v>736</v>
      </c>
    </row>
    <row r="330" spans="1:3" x14ac:dyDescent="0.3">
      <c r="A330" s="426">
        <v>40704</v>
      </c>
      <c r="B330">
        <v>24.67</v>
      </c>
      <c r="C330" t="s">
        <v>737</v>
      </c>
    </row>
    <row r="331" spans="1:3" x14ac:dyDescent="0.3">
      <c r="A331" s="426">
        <v>40705</v>
      </c>
      <c r="B331">
        <v>17.61</v>
      </c>
      <c r="C331" t="s">
        <v>738</v>
      </c>
    </row>
    <row r="332" spans="1:3" x14ac:dyDescent="0.3">
      <c r="A332" s="426">
        <v>40706</v>
      </c>
      <c r="B332">
        <v>16.21</v>
      </c>
      <c r="C332" t="s">
        <v>739</v>
      </c>
    </row>
    <row r="333" spans="1:3" x14ac:dyDescent="0.3">
      <c r="A333" s="426">
        <v>40707</v>
      </c>
      <c r="B333">
        <v>20.11</v>
      </c>
      <c r="C333" t="s">
        <v>740</v>
      </c>
    </row>
    <row r="334" spans="1:3" x14ac:dyDescent="0.3">
      <c r="A334" s="426">
        <v>40708</v>
      </c>
      <c r="B334">
        <v>19.25</v>
      </c>
      <c r="C334" t="s">
        <v>741</v>
      </c>
    </row>
    <row r="335" spans="1:3" x14ac:dyDescent="0.3">
      <c r="A335" s="426">
        <v>40709</v>
      </c>
      <c r="B335">
        <v>19.68</v>
      </c>
      <c r="C335" t="s">
        <v>742</v>
      </c>
    </row>
    <row r="336" spans="1:3" x14ac:dyDescent="0.3">
      <c r="A336" s="426">
        <v>40710</v>
      </c>
      <c r="B336">
        <v>18.86</v>
      </c>
      <c r="C336" t="s">
        <v>743</v>
      </c>
    </row>
    <row r="337" spans="1:3" x14ac:dyDescent="0.3">
      <c r="A337" s="426">
        <v>40711</v>
      </c>
      <c r="B337">
        <v>15.51</v>
      </c>
      <c r="C337" t="s">
        <v>744</v>
      </c>
    </row>
    <row r="338" spans="1:3" x14ac:dyDescent="0.3">
      <c r="A338" s="426">
        <v>40712</v>
      </c>
      <c r="B338">
        <v>16.04</v>
      </c>
      <c r="C338" t="s">
        <v>745</v>
      </c>
    </row>
    <row r="339" spans="1:3" x14ac:dyDescent="0.3">
      <c r="A339" s="426">
        <v>40713</v>
      </c>
      <c r="B339">
        <v>17.77</v>
      </c>
      <c r="C339" t="s">
        <v>746</v>
      </c>
    </row>
    <row r="340" spans="1:3" x14ac:dyDescent="0.3">
      <c r="A340" s="426">
        <v>40714</v>
      </c>
      <c r="B340">
        <v>17.77</v>
      </c>
      <c r="C340" t="s">
        <v>747</v>
      </c>
    </row>
    <row r="341" spans="1:3" x14ac:dyDescent="0.3">
      <c r="A341" s="426">
        <v>40715</v>
      </c>
      <c r="B341">
        <v>17.77</v>
      </c>
      <c r="C341" t="s">
        <v>748</v>
      </c>
    </row>
    <row r="342" spans="1:3" x14ac:dyDescent="0.3">
      <c r="A342" s="426">
        <v>40716</v>
      </c>
      <c r="B342">
        <v>17.77</v>
      </c>
      <c r="C342" t="s">
        <v>749</v>
      </c>
    </row>
    <row r="343" spans="1:3" x14ac:dyDescent="0.3">
      <c r="A343" s="426">
        <v>40717</v>
      </c>
      <c r="B343">
        <v>17.77</v>
      </c>
      <c r="C343" t="s">
        <v>750</v>
      </c>
    </row>
    <row r="344" spans="1:3" x14ac:dyDescent="0.3">
      <c r="A344" s="426">
        <v>40718</v>
      </c>
      <c r="B344">
        <v>17.77</v>
      </c>
      <c r="C344" t="s">
        <v>751</v>
      </c>
    </row>
    <row r="345" spans="1:3" x14ac:dyDescent="0.3">
      <c r="A345" s="426">
        <v>40719</v>
      </c>
      <c r="B345">
        <v>17.77</v>
      </c>
      <c r="C345" t="s">
        <v>752</v>
      </c>
    </row>
    <row r="346" spans="1:3" x14ac:dyDescent="0.3">
      <c r="A346" s="426">
        <v>40720</v>
      </c>
      <c r="B346">
        <v>15.59</v>
      </c>
      <c r="C346" t="s">
        <v>753</v>
      </c>
    </row>
    <row r="347" spans="1:3" x14ac:dyDescent="0.3">
      <c r="A347" s="426">
        <v>40721</v>
      </c>
      <c r="B347">
        <v>17.010000000000002</v>
      </c>
      <c r="C347" t="s">
        <v>754</v>
      </c>
    </row>
    <row r="348" spans="1:3" x14ac:dyDescent="0.3">
      <c r="A348" s="426">
        <v>40722</v>
      </c>
      <c r="B348">
        <v>16.93</v>
      </c>
      <c r="C348" t="s">
        <v>755</v>
      </c>
    </row>
    <row r="349" spans="1:3" x14ac:dyDescent="0.3">
      <c r="A349" s="426">
        <v>40723</v>
      </c>
      <c r="B349">
        <v>16.88</v>
      </c>
      <c r="C349" t="s">
        <v>756</v>
      </c>
    </row>
    <row r="350" spans="1:3" x14ac:dyDescent="0.3">
      <c r="A350" s="426">
        <v>40724</v>
      </c>
      <c r="B350">
        <v>16.510000000000002</v>
      </c>
      <c r="C350" t="s">
        <v>757</v>
      </c>
    </row>
    <row r="351" spans="1:3" x14ac:dyDescent="0.3">
      <c r="A351" s="426">
        <v>40725</v>
      </c>
      <c r="B351">
        <v>15.9</v>
      </c>
      <c r="C351" t="s">
        <v>758</v>
      </c>
    </row>
    <row r="352" spans="1:3" x14ac:dyDescent="0.3">
      <c r="A352" s="426">
        <v>40726</v>
      </c>
      <c r="B352">
        <v>15.53</v>
      </c>
      <c r="C352" t="s">
        <v>759</v>
      </c>
    </row>
    <row r="353" spans="1:3" x14ac:dyDescent="0.3">
      <c r="A353" s="426">
        <v>40727</v>
      </c>
      <c r="B353">
        <v>15.48</v>
      </c>
      <c r="C353" t="s">
        <v>760</v>
      </c>
    </row>
    <row r="354" spans="1:3" x14ac:dyDescent="0.3">
      <c r="A354" s="426">
        <v>40728</v>
      </c>
      <c r="B354">
        <v>14.48</v>
      </c>
      <c r="C354" t="s">
        <v>761</v>
      </c>
    </row>
    <row r="355" spans="1:3" x14ac:dyDescent="0.3">
      <c r="A355" s="426">
        <v>40729</v>
      </c>
      <c r="B355">
        <v>12.8</v>
      </c>
      <c r="C355" t="s">
        <v>762</v>
      </c>
    </row>
    <row r="356" spans="1:3" x14ac:dyDescent="0.3">
      <c r="A356" s="426">
        <v>40730</v>
      </c>
      <c r="B356">
        <v>14.8</v>
      </c>
      <c r="C356" t="s">
        <v>763</v>
      </c>
    </row>
    <row r="357" spans="1:3" x14ac:dyDescent="0.3">
      <c r="A357" s="426">
        <v>40731</v>
      </c>
      <c r="B357">
        <v>15.16</v>
      </c>
      <c r="C357" t="s">
        <v>764</v>
      </c>
    </row>
    <row r="358" spans="1:3" x14ac:dyDescent="0.3">
      <c r="A358" s="426">
        <v>40732</v>
      </c>
      <c r="B358">
        <v>14.35</v>
      </c>
      <c r="C358" t="s">
        <v>765</v>
      </c>
    </row>
    <row r="359" spans="1:3" x14ac:dyDescent="0.3">
      <c r="A359" s="426">
        <v>40733</v>
      </c>
      <c r="B359">
        <v>14.39</v>
      </c>
      <c r="C359" t="s">
        <v>766</v>
      </c>
    </row>
    <row r="360" spans="1:3" x14ac:dyDescent="0.3">
      <c r="A360" s="426">
        <v>40734</v>
      </c>
      <c r="B360">
        <v>15.08</v>
      </c>
      <c r="C360" t="s">
        <v>767</v>
      </c>
    </row>
    <row r="361" spans="1:3" x14ac:dyDescent="0.3">
      <c r="A361" s="426">
        <v>40735</v>
      </c>
      <c r="B361">
        <v>14.37</v>
      </c>
      <c r="C361" t="s">
        <v>768</v>
      </c>
    </row>
    <row r="362" spans="1:3" x14ac:dyDescent="0.3">
      <c r="A362" s="426">
        <v>40736</v>
      </c>
      <c r="B362">
        <v>14.15</v>
      </c>
      <c r="C362" t="s">
        <v>769</v>
      </c>
    </row>
    <row r="363" spans="1:3" x14ac:dyDescent="0.3">
      <c r="A363" s="426">
        <v>40737</v>
      </c>
      <c r="B363">
        <v>14.03</v>
      </c>
      <c r="C363" t="s">
        <v>770</v>
      </c>
    </row>
    <row r="364" spans="1:3" x14ac:dyDescent="0.3">
      <c r="A364" s="426">
        <v>40738</v>
      </c>
      <c r="B364">
        <v>13.93</v>
      </c>
      <c r="C364" t="s">
        <v>771</v>
      </c>
    </row>
    <row r="365" spans="1:3" x14ac:dyDescent="0.3">
      <c r="A365" s="426">
        <v>40739</v>
      </c>
      <c r="B365">
        <v>13.9</v>
      </c>
      <c r="C365" t="s">
        <v>772</v>
      </c>
    </row>
    <row r="366" spans="1:3" x14ac:dyDescent="0.3">
      <c r="A366" s="426">
        <v>40740</v>
      </c>
      <c r="B366">
        <v>13.62</v>
      </c>
      <c r="C366" t="s">
        <v>773</v>
      </c>
    </row>
    <row r="367" spans="1:3" x14ac:dyDescent="0.3">
      <c r="A367" s="426">
        <v>40741</v>
      </c>
      <c r="B367">
        <v>13.34</v>
      </c>
      <c r="C367" t="s">
        <v>774</v>
      </c>
    </row>
    <row r="368" spans="1:3" x14ac:dyDescent="0.3">
      <c r="A368" s="426">
        <v>40742</v>
      </c>
      <c r="B368">
        <v>13.03</v>
      </c>
      <c r="C368" t="s">
        <v>775</v>
      </c>
    </row>
    <row r="369" spans="1:3" x14ac:dyDescent="0.3">
      <c r="A369" s="426">
        <v>40743</v>
      </c>
      <c r="B369">
        <v>14.04</v>
      </c>
      <c r="C369" t="s">
        <v>776</v>
      </c>
    </row>
    <row r="370" spans="1:3" x14ac:dyDescent="0.3">
      <c r="A370" s="426">
        <v>40744</v>
      </c>
      <c r="B370">
        <v>13.69</v>
      </c>
      <c r="C370" t="s">
        <v>777</v>
      </c>
    </row>
    <row r="371" spans="1:3" x14ac:dyDescent="0.3">
      <c r="A371" s="426">
        <v>40745</v>
      </c>
      <c r="B371">
        <v>13.66</v>
      </c>
      <c r="C371" t="s">
        <v>778</v>
      </c>
    </row>
    <row r="372" spans="1:3" x14ac:dyDescent="0.3">
      <c r="A372" s="426">
        <v>40746</v>
      </c>
      <c r="B372">
        <v>13.65</v>
      </c>
      <c r="C372" t="s">
        <v>779</v>
      </c>
    </row>
    <row r="373" spans="1:3" x14ac:dyDescent="0.3">
      <c r="A373" s="426">
        <v>40747</v>
      </c>
      <c r="B373">
        <v>13.64</v>
      </c>
      <c r="C373" t="s">
        <v>780</v>
      </c>
    </row>
    <row r="374" spans="1:3" x14ac:dyDescent="0.3">
      <c r="A374" s="426">
        <v>40748</v>
      </c>
      <c r="B374">
        <v>13.86</v>
      </c>
      <c r="C374" t="s">
        <v>781</v>
      </c>
    </row>
    <row r="375" spans="1:3" x14ac:dyDescent="0.3">
      <c r="A375" s="426">
        <v>40749</v>
      </c>
      <c r="B375">
        <v>14.2</v>
      </c>
      <c r="C375" t="s">
        <v>782</v>
      </c>
    </row>
    <row r="376" spans="1:3" x14ac:dyDescent="0.3">
      <c r="A376" s="426">
        <v>40750</v>
      </c>
      <c r="B376">
        <v>13.91</v>
      </c>
      <c r="C376" t="s">
        <v>783</v>
      </c>
    </row>
    <row r="377" spans="1:3" x14ac:dyDescent="0.3">
      <c r="A377" s="426">
        <v>40751</v>
      </c>
      <c r="B377">
        <v>13.96</v>
      </c>
      <c r="C377" t="s">
        <v>784</v>
      </c>
    </row>
    <row r="378" spans="1:3" x14ac:dyDescent="0.3">
      <c r="A378" s="426">
        <v>40752</v>
      </c>
      <c r="B378">
        <v>13.61</v>
      </c>
      <c r="C378" t="s">
        <v>785</v>
      </c>
    </row>
    <row r="379" spans="1:3" x14ac:dyDescent="0.3">
      <c r="A379" s="426">
        <v>40753</v>
      </c>
      <c r="B379">
        <v>13.51</v>
      </c>
      <c r="C379" t="s">
        <v>786</v>
      </c>
    </row>
    <row r="380" spans="1:3" x14ac:dyDescent="0.3">
      <c r="A380" s="426">
        <v>40754</v>
      </c>
      <c r="B380">
        <v>13.53</v>
      </c>
      <c r="C380" t="s">
        <v>787</v>
      </c>
    </row>
    <row r="381" spans="1:3" x14ac:dyDescent="0.3">
      <c r="A381" s="426">
        <v>40755</v>
      </c>
      <c r="B381">
        <v>13.52</v>
      </c>
      <c r="C381" t="s">
        <v>788</v>
      </c>
    </row>
    <row r="382" spans="1:3" x14ac:dyDescent="0.3">
      <c r="A382" s="426">
        <v>40756</v>
      </c>
      <c r="B382">
        <v>13.17</v>
      </c>
      <c r="C382" t="s">
        <v>789</v>
      </c>
    </row>
    <row r="383" spans="1:3" x14ac:dyDescent="0.3">
      <c r="A383" s="426">
        <v>40757</v>
      </c>
      <c r="B383">
        <v>12.39</v>
      </c>
      <c r="C383" t="s">
        <v>790</v>
      </c>
    </row>
    <row r="384" spans="1:3" x14ac:dyDescent="0.3">
      <c r="A384" s="426">
        <v>40758</v>
      </c>
      <c r="B384">
        <v>10.45</v>
      </c>
      <c r="C384" t="s">
        <v>791</v>
      </c>
    </row>
    <row r="385" spans="1:3" x14ac:dyDescent="0.3">
      <c r="A385" s="426">
        <v>40759</v>
      </c>
      <c r="B385">
        <v>10.58</v>
      </c>
      <c r="C385" t="s">
        <v>792</v>
      </c>
    </row>
    <row r="386" spans="1:3" x14ac:dyDescent="0.3">
      <c r="A386" s="426">
        <v>40760</v>
      </c>
      <c r="B386">
        <v>10.27</v>
      </c>
      <c r="C386" t="s">
        <v>793</v>
      </c>
    </row>
    <row r="387" spans="1:3" x14ac:dyDescent="0.3">
      <c r="A387" s="426">
        <v>40761</v>
      </c>
      <c r="B387">
        <v>7.82</v>
      </c>
      <c r="C387" t="s">
        <v>794</v>
      </c>
    </row>
    <row r="388" spans="1:3" x14ac:dyDescent="0.3">
      <c r="A388" s="426">
        <v>40762</v>
      </c>
      <c r="B388">
        <v>7.72</v>
      </c>
      <c r="C388" t="s">
        <v>795</v>
      </c>
    </row>
    <row r="389" spans="1:3" x14ac:dyDescent="0.3">
      <c r="A389" s="426">
        <v>40763</v>
      </c>
      <c r="B389">
        <v>7.74</v>
      </c>
      <c r="C389" t="s">
        <v>796</v>
      </c>
    </row>
    <row r="390" spans="1:3" x14ac:dyDescent="0.3">
      <c r="A390" s="426">
        <v>40764</v>
      </c>
      <c r="B390">
        <v>9.7200000000000006</v>
      </c>
      <c r="C390" t="s">
        <v>797</v>
      </c>
    </row>
    <row r="391" spans="1:3" x14ac:dyDescent="0.3">
      <c r="A391" s="426">
        <v>40765</v>
      </c>
      <c r="B391">
        <v>10</v>
      </c>
      <c r="C391" t="s">
        <v>798</v>
      </c>
    </row>
    <row r="392" spans="1:3" x14ac:dyDescent="0.3">
      <c r="A392" s="426">
        <v>40766</v>
      </c>
      <c r="B392">
        <v>9.4700000000000006</v>
      </c>
      <c r="C392" t="s">
        <v>799</v>
      </c>
    </row>
    <row r="393" spans="1:3" x14ac:dyDescent="0.3">
      <c r="A393" s="426">
        <v>40767</v>
      </c>
      <c r="B393">
        <v>9.32</v>
      </c>
      <c r="C393" t="s">
        <v>800</v>
      </c>
    </row>
    <row r="394" spans="1:3" x14ac:dyDescent="0.3">
      <c r="A394" s="426">
        <v>40768</v>
      </c>
      <c r="B394">
        <v>9.8000000000000007</v>
      </c>
      <c r="C394" t="s">
        <v>801</v>
      </c>
    </row>
    <row r="395" spans="1:3" x14ac:dyDescent="0.3">
      <c r="A395" s="426">
        <v>40769</v>
      </c>
      <c r="B395">
        <v>10.61</v>
      </c>
      <c r="C395" t="s">
        <v>802</v>
      </c>
    </row>
    <row r="396" spans="1:3" x14ac:dyDescent="0.3">
      <c r="A396" s="426">
        <v>40770</v>
      </c>
      <c r="B396">
        <v>11.3</v>
      </c>
      <c r="C396" t="s">
        <v>803</v>
      </c>
    </row>
    <row r="397" spans="1:3" x14ac:dyDescent="0.3">
      <c r="A397" s="426">
        <v>40771</v>
      </c>
      <c r="B397">
        <v>11.05</v>
      </c>
      <c r="C397" t="s">
        <v>804</v>
      </c>
    </row>
    <row r="398" spans="1:3" x14ac:dyDescent="0.3">
      <c r="A398" s="426">
        <v>40772</v>
      </c>
      <c r="B398">
        <v>10.88</v>
      </c>
      <c r="C398" t="s">
        <v>805</v>
      </c>
    </row>
    <row r="399" spans="1:3" x14ac:dyDescent="0.3">
      <c r="A399" s="426">
        <v>40773</v>
      </c>
      <c r="B399">
        <v>10.9</v>
      </c>
      <c r="C399" t="s">
        <v>806</v>
      </c>
    </row>
    <row r="400" spans="1:3" x14ac:dyDescent="0.3">
      <c r="A400" s="426">
        <v>40774</v>
      </c>
      <c r="B400">
        <v>11.4</v>
      </c>
      <c r="C400" t="s">
        <v>807</v>
      </c>
    </row>
    <row r="401" spans="1:3" x14ac:dyDescent="0.3">
      <c r="A401" s="426">
        <v>40775</v>
      </c>
      <c r="B401">
        <v>11.49</v>
      </c>
      <c r="C401" t="s">
        <v>808</v>
      </c>
    </row>
    <row r="402" spans="1:3" x14ac:dyDescent="0.3">
      <c r="A402" s="426">
        <v>40776</v>
      </c>
      <c r="B402">
        <v>11.38</v>
      </c>
      <c r="C402" t="s">
        <v>809</v>
      </c>
    </row>
    <row r="403" spans="1:3" x14ac:dyDescent="0.3">
      <c r="A403" s="426">
        <v>40777</v>
      </c>
      <c r="B403">
        <v>11.03</v>
      </c>
      <c r="C403" t="s">
        <v>810</v>
      </c>
    </row>
    <row r="404" spans="1:3" x14ac:dyDescent="0.3">
      <c r="A404" s="426">
        <v>40778</v>
      </c>
      <c r="B404">
        <v>11.03</v>
      </c>
      <c r="C404" t="s">
        <v>811</v>
      </c>
    </row>
    <row r="405" spans="1:3" x14ac:dyDescent="0.3">
      <c r="A405" s="426">
        <v>40779</v>
      </c>
      <c r="B405">
        <v>10.94</v>
      </c>
      <c r="C405" t="s">
        <v>812</v>
      </c>
    </row>
    <row r="406" spans="1:3" x14ac:dyDescent="0.3">
      <c r="A406" s="426">
        <v>40780</v>
      </c>
      <c r="B406">
        <v>10.01</v>
      </c>
      <c r="C406" t="s">
        <v>813</v>
      </c>
    </row>
    <row r="407" spans="1:3" x14ac:dyDescent="0.3">
      <c r="A407" s="426">
        <v>40781</v>
      </c>
      <c r="B407">
        <v>8.65</v>
      </c>
      <c r="C407" t="s">
        <v>814</v>
      </c>
    </row>
    <row r="408" spans="1:3" x14ac:dyDescent="0.3">
      <c r="A408" s="426">
        <v>40782</v>
      </c>
      <c r="B408">
        <v>8.6300000000000008</v>
      </c>
      <c r="C408" t="s">
        <v>815</v>
      </c>
    </row>
    <row r="409" spans="1:3" x14ac:dyDescent="0.3">
      <c r="A409" s="426">
        <v>40783</v>
      </c>
      <c r="B409">
        <v>8.9700000000000006</v>
      </c>
      <c r="C409" t="s">
        <v>816</v>
      </c>
    </row>
    <row r="410" spans="1:3" x14ac:dyDescent="0.3">
      <c r="A410" s="426">
        <v>40784</v>
      </c>
      <c r="B410">
        <v>8.93</v>
      </c>
      <c r="C410" t="s">
        <v>817</v>
      </c>
    </row>
    <row r="411" spans="1:3" x14ac:dyDescent="0.3">
      <c r="A411" s="426">
        <v>40785</v>
      </c>
      <c r="B411">
        <v>8.7799999999999994</v>
      </c>
      <c r="C411" t="s">
        <v>818</v>
      </c>
    </row>
    <row r="412" spans="1:3" x14ac:dyDescent="0.3">
      <c r="A412" s="426">
        <v>40786</v>
      </c>
      <c r="B412">
        <v>8.35</v>
      </c>
      <c r="C412" t="s">
        <v>819</v>
      </c>
    </row>
    <row r="413" spans="1:3" x14ac:dyDescent="0.3">
      <c r="A413" s="426">
        <v>40787</v>
      </c>
      <c r="B413">
        <v>8.2200000000000006</v>
      </c>
      <c r="C413" t="s">
        <v>820</v>
      </c>
    </row>
    <row r="414" spans="1:3" x14ac:dyDescent="0.3">
      <c r="A414" s="426">
        <v>40788</v>
      </c>
      <c r="B414">
        <v>8.44</v>
      </c>
      <c r="C414" t="s">
        <v>821</v>
      </c>
    </row>
    <row r="415" spans="1:3" x14ac:dyDescent="0.3">
      <c r="A415" s="426">
        <v>40789</v>
      </c>
      <c r="B415">
        <v>8.5299999999999994</v>
      </c>
      <c r="C415" t="s">
        <v>822</v>
      </c>
    </row>
    <row r="416" spans="1:3" x14ac:dyDescent="0.3">
      <c r="A416" s="426">
        <v>40790</v>
      </c>
      <c r="B416">
        <v>8.17</v>
      </c>
      <c r="C416" t="s">
        <v>823</v>
      </c>
    </row>
    <row r="417" spans="1:3" x14ac:dyDescent="0.3">
      <c r="A417" s="426">
        <v>40791</v>
      </c>
      <c r="B417">
        <v>7.62</v>
      </c>
      <c r="C417" t="s">
        <v>824</v>
      </c>
    </row>
    <row r="418" spans="1:3" x14ac:dyDescent="0.3">
      <c r="A418" s="426">
        <v>40792</v>
      </c>
      <c r="B418">
        <v>6.73</v>
      </c>
      <c r="C418" t="s">
        <v>825</v>
      </c>
    </row>
    <row r="419" spans="1:3" x14ac:dyDescent="0.3">
      <c r="A419" s="426">
        <v>40793</v>
      </c>
      <c r="B419">
        <v>7.03</v>
      </c>
      <c r="C419" t="s">
        <v>826</v>
      </c>
    </row>
    <row r="420" spans="1:3" x14ac:dyDescent="0.3">
      <c r="A420" s="426">
        <v>40794</v>
      </c>
      <c r="B420">
        <v>6.8</v>
      </c>
      <c r="C420" t="s">
        <v>827</v>
      </c>
    </row>
    <row r="421" spans="1:3" x14ac:dyDescent="0.3">
      <c r="A421" s="426">
        <v>40795</v>
      </c>
      <c r="B421">
        <v>5.31</v>
      </c>
      <c r="C421" t="s">
        <v>828</v>
      </c>
    </row>
    <row r="422" spans="1:3" x14ac:dyDescent="0.3">
      <c r="A422" s="426">
        <v>40796</v>
      </c>
      <c r="B422">
        <v>5.03</v>
      </c>
      <c r="C422" t="s">
        <v>829</v>
      </c>
    </row>
    <row r="423" spans="1:3" x14ac:dyDescent="0.3">
      <c r="A423" s="426">
        <v>40797</v>
      </c>
      <c r="B423">
        <v>6.06</v>
      </c>
      <c r="C423" t="s">
        <v>830</v>
      </c>
    </row>
    <row r="424" spans="1:3" x14ac:dyDescent="0.3">
      <c r="A424" s="426">
        <v>40798</v>
      </c>
      <c r="B424">
        <v>6.04</v>
      </c>
      <c r="C424" t="s">
        <v>831</v>
      </c>
    </row>
    <row r="425" spans="1:3" x14ac:dyDescent="0.3">
      <c r="A425" s="426">
        <v>40799</v>
      </c>
      <c r="B425">
        <v>5.79</v>
      </c>
      <c r="C425" t="s">
        <v>832</v>
      </c>
    </row>
    <row r="426" spans="1:3" x14ac:dyDescent="0.3">
      <c r="A426" s="426">
        <v>40800</v>
      </c>
      <c r="B426">
        <v>5.55</v>
      </c>
      <c r="C426" t="s">
        <v>833</v>
      </c>
    </row>
    <row r="427" spans="1:3" x14ac:dyDescent="0.3">
      <c r="A427" s="426">
        <v>40801</v>
      </c>
      <c r="B427">
        <v>4.97</v>
      </c>
      <c r="C427" t="s">
        <v>834</v>
      </c>
    </row>
    <row r="428" spans="1:3" x14ac:dyDescent="0.3">
      <c r="A428" s="426">
        <v>40802</v>
      </c>
      <c r="B428">
        <v>4.8099999999999996</v>
      </c>
      <c r="C428" t="s">
        <v>835</v>
      </c>
    </row>
    <row r="429" spans="1:3" x14ac:dyDescent="0.3">
      <c r="A429" s="426">
        <v>40803</v>
      </c>
      <c r="B429">
        <v>4.7699999999999996</v>
      </c>
      <c r="C429" t="s">
        <v>836</v>
      </c>
    </row>
    <row r="430" spans="1:3" x14ac:dyDescent="0.3">
      <c r="A430" s="426">
        <v>40804</v>
      </c>
      <c r="B430">
        <v>5.1100000000000003</v>
      </c>
      <c r="C430" t="s">
        <v>837</v>
      </c>
    </row>
    <row r="431" spans="1:3" x14ac:dyDescent="0.3">
      <c r="A431" s="426">
        <v>40805</v>
      </c>
      <c r="B431">
        <v>5.26</v>
      </c>
      <c r="C431" t="s">
        <v>838</v>
      </c>
    </row>
    <row r="432" spans="1:3" x14ac:dyDescent="0.3">
      <c r="A432" s="426">
        <v>40806</v>
      </c>
      <c r="B432">
        <v>6.1</v>
      </c>
      <c r="C432" t="s">
        <v>839</v>
      </c>
    </row>
    <row r="433" spans="1:3" x14ac:dyDescent="0.3">
      <c r="A433" s="426">
        <v>40807</v>
      </c>
      <c r="B433">
        <v>5.62</v>
      </c>
      <c r="C433" t="s">
        <v>840</v>
      </c>
    </row>
    <row r="434" spans="1:3" x14ac:dyDescent="0.3">
      <c r="A434" s="426">
        <v>40808</v>
      </c>
      <c r="B434">
        <v>5.49</v>
      </c>
      <c r="C434" t="s">
        <v>841</v>
      </c>
    </row>
    <row r="435" spans="1:3" x14ac:dyDescent="0.3">
      <c r="A435" s="426">
        <v>40809</v>
      </c>
      <c r="B435">
        <v>5.59</v>
      </c>
      <c r="C435" t="s">
        <v>842</v>
      </c>
    </row>
    <row r="436" spans="1:3" x14ac:dyDescent="0.3">
      <c r="A436" s="426">
        <v>40810</v>
      </c>
      <c r="B436">
        <v>5.41</v>
      </c>
      <c r="C436" t="s">
        <v>843</v>
      </c>
    </row>
    <row r="437" spans="1:3" x14ac:dyDescent="0.3">
      <c r="A437" s="426">
        <v>40811</v>
      </c>
      <c r="B437">
        <v>5.32</v>
      </c>
      <c r="C437" t="s">
        <v>844</v>
      </c>
    </row>
    <row r="438" spans="1:3" x14ac:dyDescent="0.3">
      <c r="A438" s="426">
        <v>40812</v>
      </c>
      <c r="B438">
        <v>4.95</v>
      </c>
      <c r="C438" t="s">
        <v>845</v>
      </c>
    </row>
    <row r="439" spans="1:3" x14ac:dyDescent="0.3">
      <c r="A439" s="426">
        <v>40813</v>
      </c>
      <c r="B439">
        <v>4.84</v>
      </c>
      <c r="C439" t="s">
        <v>846</v>
      </c>
    </row>
    <row r="440" spans="1:3" x14ac:dyDescent="0.3">
      <c r="A440" s="426">
        <v>40814</v>
      </c>
      <c r="B440">
        <v>4.74</v>
      </c>
      <c r="C440" t="s">
        <v>847</v>
      </c>
    </row>
    <row r="441" spans="1:3" x14ac:dyDescent="0.3">
      <c r="A441" s="426">
        <v>40815</v>
      </c>
      <c r="B441">
        <v>4.7</v>
      </c>
      <c r="C441" t="s">
        <v>848</v>
      </c>
    </row>
    <row r="442" spans="1:3" x14ac:dyDescent="0.3">
      <c r="A442" s="426">
        <v>40816</v>
      </c>
      <c r="B442">
        <v>5.01</v>
      </c>
      <c r="C442" t="s">
        <v>849</v>
      </c>
    </row>
    <row r="443" spans="1:3" x14ac:dyDescent="0.3">
      <c r="A443" s="426">
        <v>40817</v>
      </c>
      <c r="B443">
        <v>5.05</v>
      </c>
      <c r="C443" t="s">
        <v>850</v>
      </c>
    </row>
    <row r="444" spans="1:3" x14ac:dyDescent="0.3">
      <c r="A444" s="426">
        <v>40818</v>
      </c>
      <c r="B444">
        <v>4.9800000000000004</v>
      </c>
      <c r="C444" t="s">
        <v>851</v>
      </c>
    </row>
    <row r="445" spans="1:3" x14ac:dyDescent="0.3">
      <c r="A445" s="426">
        <v>40819</v>
      </c>
      <c r="B445">
        <v>4.9400000000000004</v>
      </c>
      <c r="C445" t="s">
        <v>852</v>
      </c>
    </row>
    <row r="446" spans="1:3" x14ac:dyDescent="0.3">
      <c r="A446" s="426">
        <v>40820</v>
      </c>
      <c r="B446">
        <v>4.9000000000000004</v>
      </c>
      <c r="C446" t="s">
        <v>853</v>
      </c>
    </row>
    <row r="447" spans="1:3" x14ac:dyDescent="0.3">
      <c r="A447" s="426">
        <v>40821</v>
      </c>
      <c r="B447">
        <v>4.8600000000000003</v>
      </c>
      <c r="C447" t="s">
        <v>854</v>
      </c>
    </row>
    <row r="448" spans="1:3" x14ac:dyDescent="0.3">
      <c r="A448" s="426">
        <v>40822</v>
      </c>
      <c r="B448">
        <v>4.68</v>
      </c>
      <c r="C448" t="s">
        <v>855</v>
      </c>
    </row>
    <row r="449" spans="1:3" x14ac:dyDescent="0.3">
      <c r="A449" s="426">
        <v>40823</v>
      </c>
      <c r="B449">
        <v>4.29</v>
      </c>
      <c r="C449" t="s">
        <v>856</v>
      </c>
    </row>
    <row r="450" spans="1:3" x14ac:dyDescent="0.3">
      <c r="A450" s="426">
        <v>40824</v>
      </c>
      <c r="B450">
        <v>4.03</v>
      </c>
      <c r="C450" t="s">
        <v>857</v>
      </c>
    </row>
    <row r="451" spans="1:3" x14ac:dyDescent="0.3">
      <c r="A451" s="426">
        <v>40825</v>
      </c>
      <c r="B451">
        <v>4.1900000000000004</v>
      </c>
      <c r="C451" t="s">
        <v>858</v>
      </c>
    </row>
    <row r="452" spans="1:3" x14ac:dyDescent="0.3">
      <c r="A452" s="426">
        <v>40826</v>
      </c>
      <c r="B452">
        <v>4.0999999999999996</v>
      </c>
      <c r="C452" t="s">
        <v>859</v>
      </c>
    </row>
    <row r="453" spans="1:3" x14ac:dyDescent="0.3">
      <c r="A453" s="426">
        <v>40827</v>
      </c>
      <c r="B453">
        <v>3.95</v>
      </c>
      <c r="C453" t="s">
        <v>860</v>
      </c>
    </row>
    <row r="454" spans="1:3" x14ac:dyDescent="0.3">
      <c r="A454" s="426">
        <v>40828</v>
      </c>
      <c r="B454">
        <v>4.07</v>
      </c>
      <c r="C454" t="s">
        <v>861</v>
      </c>
    </row>
    <row r="455" spans="1:3" x14ac:dyDescent="0.3">
      <c r="A455" s="426">
        <v>40829</v>
      </c>
      <c r="B455">
        <v>4.08</v>
      </c>
      <c r="C455" t="s">
        <v>862</v>
      </c>
    </row>
    <row r="456" spans="1:3" x14ac:dyDescent="0.3">
      <c r="A456" s="426">
        <v>40830</v>
      </c>
      <c r="B456">
        <v>4</v>
      </c>
      <c r="C456" t="s">
        <v>863</v>
      </c>
    </row>
    <row r="457" spans="1:3" x14ac:dyDescent="0.3">
      <c r="A457" s="426">
        <v>40831</v>
      </c>
      <c r="B457">
        <v>3.89</v>
      </c>
      <c r="C457" t="s">
        <v>864</v>
      </c>
    </row>
    <row r="458" spans="1:3" x14ac:dyDescent="0.3">
      <c r="A458" s="426">
        <v>40832</v>
      </c>
      <c r="B458">
        <v>3.64</v>
      </c>
      <c r="C458" t="s">
        <v>865</v>
      </c>
    </row>
    <row r="459" spans="1:3" x14ac:dyDescent="0.3">
      <c r="A459" s="426">
        <v>40833</v>
      </c>
      <c r="B459">
        <v>2.85</v>
      </c>
      <c r="C459" t="s">
        <v>866</v>
      </c>
    </row>
    <row r="460" spans="1:3" x14ac:dyDescent="0.3">
      <c r="A460" s="426">
        <v>40834</v>
      </c>
      <c r="B460">
        <v>2.62</v>
      </c>
      <c r="C460" t="s">
        <v>867</v>
      </c>
    </row>
    <row r="461" spans="1:3" x14ac:dyDescent="0.3">
      <c r="A461" s="426">
        <v>40835</v>
      </c>
      <c r="B461">
        <v>2.2799999999999998</v>
      </c>
      <c r="C461" t="s">
        <v>868</v>
      </c>
    </row>
    <row r="462" spans="1:3" x14ac:dyDescent="0.3">
      <c r="A462" s="426">
        <v>40836</v>
      </c>
      <c r="B462">
        <v>2.31</v>
      </c>
      <c r="C462" t="s">
        <v>869</v>
      </c>
    </row>
    <row r="463" spans="1:3" x14ac:dyDescent="0.3">
      <c r="A463" s="426">
        <v>40837</v>
      </c>
      <c r="B463">
        <v>2.54</v>
      </c>
      <c r="C463" t="s">
        <v>870</v>
      </c>
    </row>
    <row r="464" spans="1:3" x14ac:dyDescent="0.3">
      <c r="A464" s="426">
        <v>40838</v>
      </c>
      <c r="B464">
        <v>3.01</v>
      </c>
      <c r="C464" t="s">
        <v>871</v>
      </c>
    </row>
    <row r="465" spans="1:3" x14ac:dyDescent="0.3">
      <c r="A465" s="426">
        <v>40839</v>
      </c>
      <c r="B465">
        <v>3.08</v>
      </c>
      <c r="C465" t="s">
        <v>872</v>
      </c>
    </row>
    <row r="466" spans="1:3" x14ac:dyDescent="0.3">
      <c r="A466" s="426">
        <v>40840</v>
      </c>
      <c r="B466">
        <v>2.81</v>
      </c>
      <c r="C466" t="s">
        <v>873</v>
      </c>
    </row>
    <row r="467" spans="1:3" x14ac:dyDescent="0.3">
      <c r="A467" s="426">
        <v>40841</v>
      </c>
      <c r="B467">
        <v>2.74</v>
      </c>
      <c r="C467" t="s">
        <v>874</v>
      </c>
    </row>
    <row r="468" spans="1:3" x14ac:dyDescent="0.3">
      <c r="A468" s="426">
        <v>40842</v>
      </c>
      <c r="B468">
        <v>2.75</v>
      </c>
      <c r="C468" t="s">
        <v>875</v>
      </c>
    </row>
    <row r="469" spans="1:3" x14ac:dyDescent="0.3">
      <c r="A469" s="426">
        <v>40843</v>
      </c>
      <c r="B469">
        <v>2.92</v>
      </c>
      <c r="C469" t="s">
        <v>876</v>
      </c>
    </row>
    <row r="470" spans="1:3" x14ac:dyDescent="0.3">
      <c r="A470" s="426">
        <v>40844</v>
      </c>
      <c r="B470">
        <v>3.11</v>
      </c>
      <c r="C470" t="s">
        <v>877</v>
      </c>
    </row>
    <row r="471" spans="1:3" x14ac:dyDescent="0.3">
      <c r="A471" s="426">
        <v>40845</v>
      </c>
      <c r="B471">
        <v>3.54</v>
      </c>
      <c r="C471" t="s">
        <v>878</v>
      </c>
    </row>
    <row r="472" spans="1:3" x14ac:dyDescent="0.3">
      <c r="A472" s="426">
        <v>40846</v>
      </c>
      <c r="B472">
        <v>3.38</v>
      </c>
      <c r="C472" t="s">
        <v>879</v>
      </c>
    </row>
    <row r="473" spans="1:3" x14ac:dyDescent="0.3">
      <c r="A473" s="426">
        <v>40847</v>
      </c>
      <c r="B473">
        <v>3.19</v>
      </c>
      <c r="C473" t="s">
        <v>880</v>
      </c>
    </row>
    <row r="474" spans="1:3" x14ac:dyDescent="0.3">
      <c r="A474" s="426">
        <v>40848</v>
      </c>
      <c r="B474">
        <v>3.19</v>
      </c>
      <c r="C474" t="s">
        <v>881</v>
      </c>
    </row>
    <row r="475" spans="1:3" x14ac:dyDescent="0.3">
      <c r="A475" s="426">
        <v>40849</v>
      </c>
      <c r="B475">
        <v>3.23</v>
      </c>
      <c r="C475" t="s">
        <v>882</v>
      </c>
    </row>
    <row r="476" spans="1:3" x14ac:dyDescent="0.3">
      <c r="A476" s="426">
        <v>40850</v>
      </c>
      <c r="B476">
        <v>3.21</v>
      </c>
      <c r="C476" t="s">
        <v>883</v>
      </c>
    </row>
    <row r="477" spans="1:3" x14ac:dyDescent="0.3">
      <c r="A477" s="426">
        <v>40851</v>
      </c>
      <c r="B477">
        <v>3.13</v>
      </c>
      <c r="C477" t="s">
        <v>884</v>
      </c>
    </row>
    <row r="478" spans="1:3" x14ac:dyDescent="0.3">
      <c r="A478" s="426">
        <v>40852</v>
      </c>
      <c r="B478">
        <v>3.01</v>
      </c>
      <c r="C478" t="s">
        <v>885</v>
      </c>
    </row>
    <row r="479" spans="1:3" x14ac:dyDescent="0.3">
      <c r="A479" s="426">
        <v>40853</v>
      </c>
      <c r="B479">
        <v>2.96</v>
      </c>
      <c r="C479" t="s">
        <v>886</v>
      </c>
    </row>
    <row r="480" spans="1:3" x14ac:dyDescent="0.3">
      <c r="A480" s="426">
        <v>40854</v>
      </c>
      <c r="B480">
        <v>3</v>
      </c>
      <c r="C480" t="s">
        <v>887</v>
      </c>
    </row>
    <row r="481" spans="1:3" x14ac:dyDescent="0.3">
      <c r="A481" s="426">
        <v>40855</v>
      </c>
      <c r="B481">
        <v>3.09</v>
      </c>
      <c r="C481" t="s">
        <v>888</v>
      </c>
    </row>
    <row r="482" spans="1:3" x14ac:dyDescent="0.3">
      <c r="A482" s="426">
        <v>40856</v>
      </c>
      <c r="B482">
        <v>3</v>
      </c>
      <c r="C482" t="s">
        <v>889</v>
      </c>
    </row>
    <row r="483" spans="1:3" x14ac:dyDescent="0.3">
      <c r="A483" s="426">
        <v>40857</v>
      </c>
      <c r="B483">
        <v>2.87</v>
      </c>
      <c r="C483" t="s">
        <v>890</v>
      </c>
    </row>
    <row r="484" spans="1:3" x14ac:dyDescent="0.3">
      <c r="A484" s="426">
        <v>40858</v>
      </c>
      <c r="B484">
        <v>2.97</v>
      </c>
      <c r="C484" t="s">
        <v>891</v>
      </c>
    </row>
    <row r="485" spans="1:3" x14ac:dyDescent="0.3">
      <c r="A485" s="426">
        <v>40859</v>
      </c>
      <c r="B485">
        <v>3.06</v>
      </c>
      <c r="C485" t="s">
        <v>892</v>
      </c>
    </row>
    <row r="486" spans="1:3" x14ac:dyDescent="0.3">
      <c r="A486" s="426">
        <v>40860</v>
      </c>
      <c r="B486">
        <v>3</v>
      </c>
      <c r="C486" t="s">
        <v>893</v>
      </c>
    </row>
    <row r="487" spans="1:3" x14ac:dyDescent="0.3">
      <c r="A487" s="426">
        <v>40861</v>
      </c>
      <c r="B487">
        <v>2.5099999999999998</v>
      </c>
      <c r="C487" t="s">
        <v>894</v>
      </c>
    </row>
    <row r="488" spans="1:3" x14ac:dyDescent="0.3">
      <c r="A488" s="426">
        <v>40862</v>
      </c>
      <c r="B488">
        <v>2.2999999999999998</v>
      </c>
      <c r="C488" t="s">
        <v>895</v>
      </c>
    </row>
    <row r="489" spans="1:3" x14ac:dyDescent="0.3">
      <c r="A489" s="426">
        <v>40863</v>
      </c>
      <c r="B489">
        <v>2.46</v>
      </c>
      <c r="C489" t="s">
        <v>896</v>
      </c>
    </row>
    <row r="490" spans="1:3" x14ac:dyDescent="0.3">
      <c r="A490" s="426">
        <v>40864</v>
      </c>
      <c r="B490">
        <v>2.23</v>
      </c>
      <c r="C490" t="s">
        <v>897</v>
      </c>
    </row>
    <row r="491" spans="1:3" x14ac:dyDescent="0.3">
      <c r="A491" s="426">
        <v>40865</v>
      </c>
      <c r="B491">
        <v>2.14</v>
      </c>
      <c r="C491" t="s">
        <v>898</v>
      </c>
    </row>
    <row r="492" spans="1:3" x14ac:dyDescent="0.3">
      <c r="A492" s="426">
        <v>40866</v>
      </c>
      <c r="B492">
        <v>2.17</v>
      </c>
      <c r="C492" t="s">
        <v>899</v>
      </c>
    </row>
    <row r="493" spans="1:3" x14ac:dyDescent="0.3">
      <c r="A493" s="426">
        <v>40867</v>
      </c>
      <c r="B493">
        <v>2.2799999999999998</v>
      </c>
      <c r="C493" t="s">
        <v>900</v>
      </c>
    </row>
    <row r="494" spans="1:3" x14ac:dyDescent="0.3">
      <c r="A494" s="426">
        <v>40868</v>
      </c>
      <c r="B494">
        <v>2.23</v>
      </c>
      <c r="C494" t="s">
        <v>901</v>
      </c>
    </row>
    <row r="495" spans="1:3" x14ac:dyDescent="0.3">
      <c r="A495" s="426">
        <v>40869</v>
      </c>
      <c r="B495">
        <v>2.31</v>
      </c>
      <c r="C495" t="s">
        <v>902</v>
      </c>
    </row>
    <row r="496" spans="1:3" x14ac:dyDescent="0.3">
      <c r="A496" s="426">
        <v>40870</v>
      </c>
      <c r="B496">
        <v>2.3199999999999998</v>
      </c>
      <c r="C496" t="s">
        <v>903</v>
      </c>
    </row>
    <row r="497" spans="1:3" x14ac:dyDescent="0.3">
      <c r="A497" s="426">
        <v>40871</v>
      </c>
      <c r="B497">
        <v>2.42</v>
      </c>
      <c r="C497" t="s">
        <v>904</v>
      </c>
    </row>
    <row r="498" spans="1:3" x14ac:dyDescent="0.3">
      <c r="A498" s="426">
        <v>40872</v>
      </c>
      <c r="B498">
        <v>2.4700000000000002</v>
      </c>
      <c r="C498" t="s">
        <v>905</v>
      </c>
    </row>
    <row r="499" spans="1:3" x14ac:dyDescent="0.3">
      <c r="A499" s="426">
        <v>40873</v>
      </c>
      <c r="B499">
        <v>2.48</v>
      </c>
      <c r="C499" t="s">
        <v>906</v>
      </c>
    </row>
    <row r="500" spans="1:3" x14ac:dyDescent="0.3">
      <c r="A500" s="426">
        <v>40874</v>
      </c>
      <c r="B500">
        <v>2.46</v>
      </c>
      <c r="C500" t="s">
        <v>907</v>
      </c>
    </row>
    <row r="501" spans="1:3" x14ac:dyDescent="0.3">
      <c r="A501" s="426">
        <v>40875</v>
      </c>
      <c r="B501">
        <v>2.5099999999999998</v>
      </c>
      <c r="C501" t="s">
        <v>908</v>
      </c>
    </row>
    <row r="502" spans="1:3" x14ac:dyDescent="0.3">
      <c r="A502" s="426">
        <v>40876</v>
      </c>
      <c r="B502">
        <v>2.79</v>
      </c>
      <c r="C502" t="s">
        <v>909</v>
      </c>
    </row>
    <row r="503" spans="1:3" x14ac:dyDescent="0.3">
      <c r="A503" s="426">
        <v>40877</v>
      </c>
      <c r="B503">
        <v>2.91</v>
      </c>
      <c r="C503" t="s">
        <v>910</v>
      </c>
    </row>
    <row r="504" spans="1:3" x14ac:dyDescent="0.3">
      <c r="A504" s="426">
        <v>40878</v>
      </c>
      <c r="B504">
        <v>3.05</v>
      </c>
      <c r="C504" t="s">
        <v>911</v>
      </c>
    </row>
    <row r="505" spans="1:3" x14ac:dyDescent="0.3">
      <c r="A505" s="426">
        <v>40879</v>
      </c>
      <c r="B505">
        <v>3.1</v>
      </c>
      <c r="C505" t="s">
        <v>912</v>
      </c>
    </row>
    <row r="506" spans="1:3" x14ac:dyDescent="0.3">
      <c r="A506" s="426">
        <v>40880</v>
      </c>
      <c r="B506">
        <v>2.93</v>
      </c>
      <c r="C506" t="s">
        <v>913</v>
      </c>
    </row>
    <row r="507" spans="1:3" x14ac:dyDescent="0.3">
      <c r="A507" s="426">
        <v>40881</v>
      </c>
      <c r="B507">
        <v>2.75</v>
      </c>
      <c r="C507" t="s">
        <v>914</v>
      </c>
    </row>
    <row r="508" spans="1:3" x14ac:dyDescent="0.3">
      <c r="A508" s="426">
        <v>40882</v>
      </c>
      <c r="B508">
        <v>2.87</v>
      </c>
      <c r="C508" t="s">
        <v>915</v>
      </c>
    </row>
    <row r="509" spans="1:3" x14ac:dyDescent="0.3">
      <c r="A509" s="426">
        <v>40883</v>
      </c>
      <c r="B509">
        <v>2.98</v>
      </c>
      <c r="C509" t="s">
        <v>916</v>
      </c>
    </row>
    <row r="510" spans="1:3" x14ac:dyDescent="0.3">
      <c r="A510" s="426">
        <v>40884</v>
      </c>
      <c r="B510">
        <v>3</v>
      </c>
      <c r="C510" t="s">
        <v>917</v>
      </c>
    </row>
    <row r="511" spans="1:3" x14ac:dyDescent="0.3">
      <c r="A511" s="426">
        <v>40885</v>
      </c>
      <c r="B511">
        <v>2.95</v>
      </c>
      <c r="C511" t="s">
        <v>918</v>
      </c>
    </row>
    <row r="512" spans="1:3" x14ac:dyDescent="0.3">
      <c r="A512" s="426">
        <v>40886</v>
      </c>
      <c r="B512">
        <v>2.99</v>
      </c>
      <c r="C512" t="s">
        <v>919</v>
      </c>
    </row>
    <row r="513" spans="1:3" x14ac:dyDescent="0.3">
      <c r="A513" s="426">
        <v>40887</v>
      </c>
      <c r="B513">
        <v>3.04</v>
      </c>
      <c r="C513" t="s">
        <v>920</v>
      </c>
    </row>
    <row r="514" spans="1:3" x14ac:dyDescent="0.3">
      <c r="A514" s="426">
        <v>40888</v>
      </c>
      <c r="B514">
        <v>3.2</v>
      </c>
      <c r="C514" t="s">
        <v>921</v>
      </c>
    </row>
    <row r="515" spans="1:3" x14ac:dyDescent="0.3">
      <c r="A515" s="426">
        <v>40889</v>
      </c>
      <c r="B515">
        <v>3.18</v>
      </c>
      <c r="C515" t="s">
        <v>922</v>
      </c>
    </row>
    <row r="516" spans="1:3" x14ac:dyDescent="0.3">
      <c r="A516" s="426">
        <v>40890</v>
      </c>
      <c r="B516">
        <v>3.21</v>
      </c>
      <c r="C516" t="s">
        <v>923</v>
      </c>
    </row>
    <row r="517" spans="1:3" x14ac:dyDescent="0.3">
      <c r="A517" s="426">
        <v>40891</v>
      </c>
      <c r="B517">
        <v>3.12</v>
      </c>
      <c r="C517" t="s">
        <v>924</v>
      </c>
    </row>
    <row r="518" spans="1:3" x14ac:dyDescent="0.3">
      <c r="A518" s="426">
        <v>40892</v>
      </c>
      <c r="B518">
        <v>3.17</v>
      </c>
      <c r="C518" t="s">
        <v>925</v>
      </c>
    </row>
    <row r="519" spans="1:3" x14ac:dyDescent="0.3">
      <c r="A519" s="426">
        <v>40893</v>
      </c>
      <c r="B519">
        <v>3.18</v>
      </c>
      <c r="C519" t="s">
        <v>926</v>
      </c>
    </row>
    <row r="520" spans="1:3" x14ac:dyDescent="0.3">
      <c r="A520" s="426">
        <v>40894</v>
      </c>
      <c r="B520">
        <v>3.19</v>
      </c>
      <c r="C520" t="s">
        <v>927</v>
      </c>
    </row>
    <row r="521" spans="1:3" x14ac:dyDescent="0.3">
      <c r="A521" s="426">
        <v>40895</v>
      </c>
      <c r="B521">
        <v>3.2</v>
      </c>
      <c r="C521" t="s">
        <v>928</v>
      </c>
    </row>
    <row r="522" spans="1:3" x14ac:dyDescent="0.3">
      <c r="A522" s="426">
        <v>40896</v>
      </c>
      <c r="B522">
        <v>3.41</v>
      </c>
      <c r="C522" t="s">
        <v>929</v>
      </c>
    </row>
    <row r="523" spans="1:3" x14ac:dyDescent="0.3">
      <c r="A523" s="426">
        <v>40897</v>
      </c>
      <c r="B523">
        <v>3.97</v>
      </c>
      <c r="C523" t="s">
        <v>930</v>
      </c>
    </row>
    <row r="524" spans="1:3" x14ac:dyDescent="0.3">
      <c r="A524" s="426">
        <v>40898</v>
      </c>
      <c r="B524">
        <v>3.93</v>
      </c>
      <c r="C524" t="s">
        <v>931</v>
      </c>
    </row>
    <row r="525" spans="1:3" x14ac:dyDescent="0.3">
      <c r="A525" s="426">
        <v>40899</v>
      </c>
      <c r="B525">
        <v>3.79</v>
      </c>
      <c r="C525" t="s">
        <v>932</v>
      </c>
    </row>
    <row r="526" spans="1:3" x14ac:dyDescent="0.3">
      <c r="A526" s="426">
        <v>40900</v>
      </c>
      <c r="B526">
        <v>3.9</v>
      </c>
      <c r="C526" t="s">
        <v>933</v>
      </c>
    </row>
    <row r="527" spans="1:3" x14ac:dyDescent="0.3">
      <c r="A527" s="426">
        <v>40901</v>
      </c>
      <c r="B527">
        <v>3.92</v>
      </c>
      <c r="C527" t="s">
        <v>934</v>
      </c>
    </row>
    <row r="528" spans="1:3" x14ac:dyDescent="0.3">
      <c r="A528" s="426">
        <v>40902</v>
      </c>
      <c r="B528">
        <v>4.1399999999999997</v>
      </c>
      <c r="C528" t="s">
        <v>935</v>
      </c>
    </row>
    <row r="529" spans="1:3" x14ac:dyDescent="0.3">
      <c r="A529" s="426">
        <v>40903</v>
      </c>
      <c r="B529">
        <v>4.04</v>
      </c>
      <c r="C529" t="s">
        <v>936</v>
      </c>
    </row>
    <row r="530" spans="1:3" x14ac:dyDescent="0.3">
      <c r="A530" s="426">
        <v>40904</v>
      </c>
      <c r="B530">
        <v>4.0199999999999996</v>
      </c>
      <c r="C530" t="s">
        <v>937</v>
      </c>
    </row>
    <row r="531" spans="1:3" x14ac:dyDescent="0.3">
      <c r="A531" s="426">
        <v>40905</v>
      </c>
      <c r="B531">
        <v>4.1399999999999997</v>
      </c>
      <c r="C531" t="s">
        <v>938</v>
      </c>
    </row>
    <row r="532" spans="1:3" x14ac:dyDescent="0.3">
      <c r="A532" s="426">
        <v>40906</v>
      </c>
      <c r="B532">
        <v>4.22</v>
      </c>
      <c r="C532" t="s">
        <v>939</v>
      </c>
    </row>
    <row r="533" spans="1:3" x14ac:dyDescent="0.3">
      <c r="A533" s="426">
        <v>40907</v>
      </c>
      <c r="B533">
        <v>4.1900000000000004</v>
      </c>
      <c r="C533" t="s">
        <v>940</v>
      </c>
    </row>
    <row r="534" spans="1:3" x14ac:dyDescent="0.3">
      <c r="A534" s="426">
        <v>40908</v>
      </c>
      <c r="B534">
        <v>4.5999999999999996</v>
      </c>
      <c r="C534" t="s">
        <v>941</v>
      </c>
    </row>
    <row r="535" spans="1:3" x14ac:dyDescent="0.3">
      <c r="A535" s="426">
        <v>40909</v>
      </c>
      <c r="B535">
        <v>5.0999999999999996</v>
      </c>
      <c r="C535" t="s">
        <v>942</v>
      </c>
    </row>
    <row r="536" spans="1:3" x14ac:dyDescent="0.3">
      <c r="A536" s="426">
        <v>40910</v>
      </c>
      <c r="B536">
        <v>5.21</v>
      </c>
      <c r="C536" t="s">
        <v>943</v>
      </c>
    </row>
    <row r="537" spans="1:3" x14ac:dyDescent="0.3">
      <c r="A537" s="426">
        <v>40911</v>
      </c>
      <c r="B537">
        <v>4.95</v>
      </c>
      <c r="C537" t="s">
        <v>944</v>
      </c>
    </row>
    <row r="538" spans="1:3" x14ac:dyDescent="0.3">
      <c r="A538" s="426">
        <v>40912</v>
      </c>
      <c r="B538">
        <v>5.25</v>
      </c>
      <c r="C538" t="s">
        <v>945</v>
      </c>
    </row>
    <row r="539" spans="1:3" x14ac:dyDescent="0.3">
      <c r="A539" s="426">
        <v>40913</v>
      </c>
      <c r="B539">
        <v>6.2</v>
      </c>
      <c r="C539" t="s">
        <v>946</v>
      </c>
    </row>
    <row r="540" spans="1:3" x14ac:dyDescent="0.3">
      <c r="A540" s="426">
        <v>40914</v>
      </c>
      <c r="B540">
        <v>6.79</v>
      </c>
      <c r="C540" t="s">
        <v>947</v>
      </c>
    </row>
    <row r="541" spans="1:3" x14ac:dyDescent="0.3">
      <c r="A541" s="426">
        <v>40915</v>
      </c>
      <c r="B541">
        <v>6.72</v>
      </c>
      <c r="C541" t="s">
        <v>948</v>
      </c>
    </row>
    <row r="542" spans="1:3" x14ac:dyDescent="0.3">
      <c r="A542" s="426">
        <v>40916</v>
      </c>
      <c r="B542">
        <v>7.03</v>
      </c>
      <c r="C542" t="s">
        <v>949</v>
      </c>
    </row>
    <row r="543" spans="1:3" x14ac:dyDescent="0.3">
      <c r="A543" s="426">
        <v>40917</v>
      </c>
      <c r="B543">
        <v>6.47</v>
      </c>
      <c r="C543" t="s">
        <v>950</v>
      </c>
    </row>
    <row r="544" spans="1:3" x14ac:dyDescent="0.3">
      <c r="A544" s="426">
        <v>40918</v>
      </c>
      <c r="B544">
        <v>6.4</v>
      </c>
      <c r="C544" t="s">
        <v>951</v>
      </c>
    </row>
    <row r="545" spans="1:3" x14ac:dyDescent="0.3">
      <c r="A545" s="426">
        <v>40919</v>
      </c>
      <c r="B545">
        <v>6.81</v>
      </c>
      <c r="C545" t="s">
        <v>952</v>
      </c>
    </row>
    <row r="546" spans="1:3" x14ac:dyDescent="0.3">
      <c r="A546" s="426">
        <v>40920</v>
      </c>
      <c r="B546">
        <v>6.74</v>
      </c>
      <c r="C546" t="s">
        <v>953</v>
      </c>
    </row>
    <row r="547" spans="1:3" x14ac:dyDescent="0.3">
      <c r="A547" s="426">
        <v>40921</v>
      </c>
      <c r="B547">
        <v>6.61</v>
      </c>
      <c r="C547" t="s">
        <v>954</v>
      </c>
    </row>
    <row r="548" spans="1:3" x14ac:dyDescent="0.3">
      <c r="A548" s="426">
        <v>40922</v>
      </c>
      <c r="B548">
        <v>6.59</v>
      </c>
      <c r="C548" t="s">
        <v>955</v>
      </c>
    </row>
    <row r="549" spans="1:3" x14ac:dyDescent="0.3">
      <c r="A549" s="426">
        <v>40923</v>
      </c>
      <c r="B549">
        <v>6.9</v>
      </c>
      <c r="C549" t="s">
        <v>956</v>
      </c>
    </row>
    <row r="550" spans="1:3" x14ac:dyDescent="0.3">
      <c r="A550" s="426">
        <v>40924</v>
      </c>
      <c r="B550">
        <v>6.83</v>
      </c>
      <c r="C550" t="s">
        <v>957</v>
      </c>
    </row>
    <row r="551" spans="1:3" x14ac:dyDescent="0.3">
      <c r="A551" s="426">
        <v>40925</v>
      </c>
      <c r="B551">
        <v>6.04</v>
      </c>
      <c r="C551" t="s">
        <v>958</v>
      </c>
    </row>
    <row r="552" spans="1:3" x14ac:dyDescent="0.3">
      <c r="A552" s="426">
        <v>40926</v>
      </c>
      <c r="B552">
        <v>5.98</v>
      </c>
      <c r="C552" t="s">
        <v>959</v>
      </c>
    </row>
    <row r="553" spans="1:3" x14ac:dyDescent="0.3">
      <c r="A553" s="426">
        <v>40927</v>
      </c>
      <c r="B553">
        <v>6.18</v>
      </c>
      <c r="C553" t="s">
        <v>960</v>
      </c>
    </row>
    <row r="554" spans="1:3" x14ac:dyDescent="0.3">
      <c r="A554" s="426">
        <v>40928</v>
      </c>
      <c r="B554">
        <v>6.44</v>
      </c>
      <c r="C554" t="s">
        <v>961</v>
      </c>
    </row>
    <row r="555" spans="1:3" x14ac:dyDescent="0.3">
      <c r="A555" s="426">
        <v>40929</v>
      </c>
      <c r="B555">
        <v>6.29</v>
      </c>
      <c r="C555" t="s">
        <v>962</v>
      </c>
    </row>
    <row r="556" spans="1:3" x14ac:dyDescent="0.3">
      <c r="A556" s="426">
        <v>40930</v>
      </c>
      <c r="B556">
        <v>6.29</v>
      </c>
      <c r="C556" t="s">
        <v>963</v>
      </c>
    </row>
    <row r="557" spans="1:3" x14ac:dyDescent="0.3">
      <c r="A557" s="426">
        <v>40931</v>
      </c>
      <c r="B557">
        <v>6.29</v>
      </c>
      <c r="C557" t="s">
        <v>964</v>
      </c>
    </row>
    <row r="558" spans="1:3" x14ac:dyDescent="0.3">
      <c r="A558" s="426">
        <v>40932</v>
      </c>
      <c r="B558">
        <v>6.3</v>
      </c>
      <c r="C558" t="s">
        <v>965</v>
      </c>
    </row>
    <row r="559" spans="1:3" x14ac:dyDescent="0.3">
      <c r="A559" s="426">
        <v>40933</v>
      </c>
      <c r="B559">
        <v>5.88</v>
      </c>
      <c r="C559" t="s">
        <v>966</v>
      </c>
    </row>
    <row r="560" spans="1:3" x14ac:dyDescent="0.3">
      <c r="A560" s="426">
        <v>40934</v>
      </c>
      <c r="B560">
        <v>5.59</v>
      </c>
      <c r="C560" t="s">
        <v>967</v>
      </c>
    </row>
    <row r="561" spans="1:3" x14ac:dyDescent="0.3">
      <c r="A561" s="426">
        <v>40935</v>
      </c>
      <c r="B561">
        <v>5.29</v>
      </c>
      <c r="C561" t="s">
        <v>968</v>
      </c>
    </row>
    <row r="562" spans="1:3" x14ac:dyDescent="0.3">
      <c r="A562" s="426">
        <v>40936</v>
      </c>
      <c r="B562">
        <v>5.57</v>
      </c>
      <c r="C562" t="s">
        <v>969</v>
      </c>
    </row>
    <row r="563" spans="1:3" x14ac:dyDescent="0.3">
      <c r="A563" s="426">
        <v>40937</v>
      </c>
      <c r="B563">
        <v>5.48</v>
      </c>
      <c r="C563" t="s">
        <v>970</v>
      </c>
    </row>
    <row r="564" spans="1:3" x14ac:dyDescent="0.3">
      <c r="A564" s="426">
        <v>40938</v>
      </c>
      <c r="B564">
        <v>5.51</v>
      </c>
      <c r="C564" t="s">
        <v>971</v>
      </c>
    </row>
    <row r="565" spans="1:3" x14ac:dyDescent="0.3">
      <c r="A565" s="426">
        <v>40939</v>
      </c>
      <c r="B565">
        <v>5.53</v>
      </c>
      <c r="C565" t="s">
        <v>972</v>
      </c>
    </row>
    <row r="566" spans="1:3" x14ac:dyDescent="0.3">
      <c r="A566" s="426">
        <v>40940</v>
      </c>
      <c r="B566">
        <v>5.82</v>
      </c>
      <c r="C566" t="s">
        <v>973</v>
      </c>
    </row>
    <row r="567" spans="1:3" x14ac:dyDescent="0.3">
      <c r="A567" s="426">
        <v>40941</v>
      </c>
      <c r="B567">
        <v>6.03</v>
      </c>
      <c r="C567" t="s">
        <v>974</v>
      </c>
    </row>
    <row r="568" spans="1:3" x14ac:dyDescent="0.3">
      <c r="A568" s="426">
        <v>40942</v>
      </c>
      <c r="B568">
        <v>5.92</v>
      </c>
      <c r="C568" t="s">
        <v>975</v>
      </c>
    </row>
    <row r="569" spans="1:3" x14ac:dyDescent="0.3">
      <c r="A569" s="426">
        <v>40943</v>
      </c>
      <c r="B569">
        <v>5.92</v>
      </c>
      <c r="C569" t="s">
        <v>976</v>
      </c>
    </row>
    <row r="570" spans="1:3" x14ac:dyDescent="0.3">
      <c r="A570" s="426">
        <v>40944</v>
      </c>
      <c r="B570">
        <v>5.68</v>
      </c>
      <c r="C570" t="s">
        <v>977</v>
      </c>
    </row>
    <row r="571" spans="1:3" x14ac:dyDescent="0.3">
      <c r="A571" s="426">
        <v>40945</v>
      </c>
      <c r="B571">
        <v>5.55</v>
      </c>
      <c r="C571" t="s">
        <v>978</v>
      </c>
    </row>
    <row r="572" spans="1:3" x14ac:dyDescent="0.3">
      <c r="A572" s="426">
        <v>40946</v>
      </c>
      <c r="B572">
        <v>5.62</v>
      </c>
      <c r="C572" t="s">
        <v>979</v>
      </c>
    </row>
    <row r="573" spans="1:3" x14ac:dyDescent="0.3">
      <c r="A573" s="426">
        <v>40947</v>
      </c>
      <c r="B573">
        <v>5.64</v>
      </c>
      <c r="C573" t="s">
        <v>980</v>
      </c>
    </row>
    <row r="574" spans="1:3" x14ac:dyDescent="0.3">
      <c r="A574" s="426">
        <v>40948</v>
      </c>
      <c r="B574">
        <v>5.75</v>
      </c>
      <c r="C574" t="s">
        <v>981</v>
      </c>
    </row>
    <row r="575" spans="1:3" x14ac:dyDescent="0.3">
      <c r="A575" s="426">
        <v>40949</v>
      </c>
      <c r="B575">
        <v>5.87</v>
      </c>
      <c r="C575" t="s">
        <v>982</v>
      </c>
    </row>
    <row r="576" spans="1:3" x14ac:dyDescent="0.3">
      <c r="A576" s="426">
        <v>40950</v>
      </c>
      <c r="B576">
        <v>5.7</v>
      </c>
      <c r="C576" t="s">
        <v>983</v>
      </c>
    </row>
    <row r="577" spans="1:3" x14ac:dyDescent="0.3">
      <c r="A577" s="426">
        <v>40951</v>
      </c>
      <c r="B577">
        <v>5.6</v>
      </c>
      <c r="C577" t="s">
        <v>984</v>
      </c>
    </row>
    <row r="578" spans="1:3" x14ac:dyDescent="0.3">
      <c r="A578" s="426">
        <v>40952</v>
      </c>
      <c r="B578">
        <v>5.34</v>
      </c>
      <c r="C578" t="s">
        <v>985</v>
      </c>
    </row>
    <row r="579" spans="1:3" x14ac:dyDescent="0.3">
      <c r="A579" s="426">
        <v>40953</v>
      </c>
      <c r="B579">
        <v>4.7</v>
      </c>
      <c r="C579" t="s">
        <v>986</v>
      </c>
    </row>
    <row r="580" spans="1:3" x14ac:dyDescent="0.3">
      <c r="A580" s="426">
        <v>40954</v>
      </c>
      <c r="B580">
        <v>4.58</v>
      </c>
      <c r="C580" t="s">
        <v>987</v>
      </c>
    </row>
    <row r="581" spans="1:3" x14ac:dyDescent="0.3">
      <c r="A581" s="426">
        <v>40955</v>
      </c>
      <c r="B581">
        <v>4.1900000000000004</v>
      </c>
      <c r="C581" t="s">
        <v>988</v>
      </c>
    </row>
    <row r="582" spans="1:3" x14ac:dyDescent="0.3">
      <c r="A582" s="426">
        <v>40956</v>
      </c>
      <c r="B582">
        <v>4.46</v>
      </c>
      <c r="C582" t="s">
        <v>989</v>
      </c>
    </row>
    <row r="583" spans="1:3" x14ac:dyDescent="0.3">
      <c r="A583" s="426">
        <v>40957</v>
      </c>
      <c r="B583">
        <v>4.2699999999999996</v>
      </c>
      <c r="C583" t="s">
        <v>990</v>
      </c>
    </row>
    <row r="584" spans="1:3" x14ac:dyDescent="0.3">
      <c r="A584" s="426">
        <v>40958</v>
      </c>
      <c r="B584">
        <v>4.3499999999999996</v>
      </c>
      <c r="C584" t="s">
        <v>991</v>
      </c>
    </row>
    <row r="585" spans="1:3" x14ac:dyDescent="0.3">
      <c r="A585" s="426">
        <v>40959</v>
      </c>
      <c r="B585">
        <v>4.37</v>
      </c>
      <c r="C585" t="s">
        <v>992</v>
      </c>
    </row>
    <row r="586" spans="1:3" x14ac:dyDescent="0.3">
      <c r="A586" s="426">
        <v>40960</v>
      </c>
      <c r="B586">
        <v>4.3099999999999996</v>
      </c>
      <c r="C586" t="s">
        <v>993</v>
      </c>
    </row>
    <row r="587" spans="1:3" x14ac:dyDescent="0.3">
      <c r="A587" s="426">
        <v>40961</v>
      </c>
      <c r="B587">
        <v>4.4400000000000004</v>
      </c>
      <c r="C587" t="s">
        <v>994</v>
      </c>
    </row>
    <row r="588" spans="1:3" x14ac:dyDescent="0.3">
      <c r="A588" s="426">
        <v>40962</v>
      </c>
      <c r="B588">
        <v>4.82</v>
      </c>
      <c r="C588" t="s">
        <v>995</v>
      </c>
    </row>
    <row r="589" spans="1:3" x14ac:dyDescent="0.3">
      <c r="A589" s="426">
        <v>40963</v>
      </c>
      <c r="B589">
        <v>4.97</v>
      </c>
      <c r="C589" t="s">
        <v>996</v>
      </c>
    </row>
    <row r="590" spans="1:3" x14ac:dyDescent="0.3">
      <c r="A590" s="426">
        <v>40964</v>
      </c>
      <c r="B590">
        <v>4.88</v>
      </c>
      <c r="C590" t="s">
        <v>997</v>
      </c>
    </row>
    <row r="591" spans="1:3" x14ac:dyDescent="0.3">
      <c r="A591" s="426">
        <v>40965</v>
      </c>
      <c r="B591">
        <v>4.95</v>
      </c>
      <c r="C591" t="s">
        <v>998</v>
      </c>
    </row>
    <row r="592" spans="1:3" x14ac:dyDescent="0.3">
      <c r="A592" s="426">
        <v>40966</v>
      </c>
      <c r="B592">
        <v>4.93</v>
      </c>
      <c r="C592" t="s">
        <v>999</v>
      </c>
    </row>
    <row r="593" spans="1:3" x14ac:dyDescent="0.3">
      <c r="A593" s="426">
        <v>40967</v>
      </c>
      <c r="B593">
        <v>4.87</v>
      </c>
      <c r="C593" t="s">
        <v>1000</v>
      </c>
    </row>
    <row r="594" spans="1:3" x14ac:dyDescent="0.3">
      <c r="A594" s="426">
        <v>40968</v>
      </c>
      <c r="B594">
        <v>4.82</v>
      </c>
      <c r="C594" t="s">
        <v>1001</v>
      </c>
    </row>
    <row r="595" spans="1:3" x14ac:dyDescent="0.3">
      <c r="A595" s="426">
        <v>40969</v>
      </c>
      <c r="B595">
        <v>4.92</v>
      </c>
      <c r="C595" t="s">
        <v>1002</v>
      </c>
    </row>
    <row r="596" spans="1:3" x14ac:dyDescent="0.3">
      <c r="A596" s="426">
        <v>40970</v>
      </c>
      <c r="B596">
        <v>4.6900000000000004</v>
      </c>
      <c r="C596" t="s">
        <v>1003</v>
      </c>
    </row>
    <row r="597" spans="1:3" x14ac:dyDescent="0.3">
      <c r="A597" s="426">
        <v>40971</v>
      </c>
      <c r="B597">
        <v>4.67</v>
      </c>
      <c r="C597" t="s">
        <v>1004</v>
      </c>
    </row>
    <row r="598" spans="1:3" x14ac:dyDescent="0.3">
      <c r="A598" s="426">
        <v>40972</v>
      </c>
      <c r="B598">
        <v>4.8</v>
      </c>
      <c r="C598" t="s">
        <v>1005</v>
      </c>
    </row>
    <row r="599" spans="1:3" x14ac:dyDescent="0.3">
      <c r="A599" s="426">
        <v>40973</v>
      </c>
      <c r="B599">
        <v>4.93</v>
      </c>
      <c r="C599" t="s">
        <v>1006</v>
      </c>
    </row>
    <row r="600" spans="1:3" x14ac:dyDescent="0.3">
      <c r="A600" s="426">
        <v>40974</v>
      </c>
      <c r="B600">
        <v>4.97</v>
      </c>
      <c r="C600" t="s">
        <v>1007</v>
      </c>
    </row>
    <row r="601" spans="1:3" x14ac:dyDescent="0.3">
      <c r="A601" s="426">
        <v>40975</v>
      </c>
      <c r="B601">
        <v>4.92</v>
      </c>
      <c r="C601" t="s">
        <v>1008</v>
      </c>
    </row>
    <row r="602" spans="1:3" x14ac:dyDescent="0.3">
      <c r="A602" s="426">
        <v>40976</v>
      </c>
      <c r="B602">
        <v>4.87</v>
      </c>
      <c r="C602" t="s">
        <v>1009</v>
      </c>
    </row>
    <row r="603" spans="1:3" x14ac:dyDescent="0.3">
      <c r="A603" s="426">
        <v>40977</v>
      </c>
      <c r="B603">
        <v>4.8899999999999997</v>
      </c>
      <c r="C603" t="s">
        <v>1010</v>
      </c>
    </row>
    <row r="604" spans="1:3" x14ac:dyDescent="0.3">
      <c r="A604" s="426">
        <v>40978</v>
      </c>
      <c r="B604">
        <v>4.8</v>
      </c>
      <c r="C604" t="s">
        <v>1011</v>
      </c>
    </row>
    <row r="605" spans="1:3" x14ac:dyDescent="0.3">
      <c r="A605" s="426">
        <v>40979</v>
      </c>
      <c r="B605">
        <v>4.8899999999999997</v>
      </c>
      <c r="C605" t="s">
        <v>1012</v>
      </c>
    </row>
    <row r="606" spans="1:3" x14ac:dyDescent="0.3">
      <c r="A606" s="426">
        <v>40980</v>
      </c>
      <c r="B606">
        <v>4.87</v>
      </c>
      <c r="C606" t="s">
        <v>1013</v>
      </c>
    </row>
    <row r="607" spans="1:3" x14ac:dyDescent="0.3">
      <c r="A607" s="426">
        <v>40981</v>
      </c>
      <c r="B607">
        <v>5.15</v>
      </c>
      <c r="C607" t="s">
        <v>1014</v>
      </c>
    </row>
    <row r="608" spans="1:3" x14ac:dyDescent="0.3">
      <c r="A608" s="426">
        <v>40982</v>
      </c>
      <c r="B608">
        <v>5.35</v>
      </c>
      <c r="C608" t="s">
        <v>1015</v>
      </c>
    </row>
    <row r="609" spans="1:3" x14ac:dyDescent="0.3">
      <c r="A609" s="426">
        <v>40983</v>
      </c>
      <c r="B609">
        <v>5.3</v>
      </c>
      <c r="C609" t="s">
        <v>1016</v>
      </c>
    </row>
    <row r="610" spans="1:3" x14ac:dyDescent="0.3">
      <c r="A610" s="426">
        <v>40984</v>
      </c>
      <c r="B610">
        <v>5.33</v>
      </c>
      <c r="C610" t="s">
        <v>1017</v>
      </c>
    </row>
    <row r="611" spans="1:3" x14ac:dyDescent="0.3">
      <c r="A611" s="426">
        <v>40985</v>
      </c>
      <c r="B611">
        <v>5.31</v>
      </c>
      <c r="C611" t="s">
        <v>1018</v>
      </c>
    </row>
    <row r="612" spans="1:3" x14ac:dyDescent="0.3">
      <c r="A612" s="426">
        <v>40986</v>
      </c>
      <c r="B612">
        <v>5.22</v>
      </c>
      <c r="C612" t="s">
        <v>1019</v>
      </c>
    </row>
    <row r="613" spans="1:3" x14ac:dyDescent="0.3">
      <c r="A613" s="426">
        <v>40987</v>
      </c>
      <c r="B613">
        <v>4.88</v>
      </c>
      <c r="C613" t="s">
        <v>1020</v>
      </c>
    </row>
    <row r="614" spans="1:3" x14ac:dyDescent="0.3">
      <c r="A614" s="426">
        <v>40988</v>
      </c>
      <c r="B614">
        <v>4.79</v>
      </c>
      <c r="C614" t="s">
        <v>1021</v>
      </c>
    </row>
    <row r="615" spans="1:3" x14ac:dyDescent="0.3">
      <c r="A615" s="426">
        <v>40989</v>
      </c>
      <c r="B615">
        <v>4.8099999999999996</v>
      </c>
      <c r="C615" t="s">
        <v>1022</v>
      </c>
    </row>
    <row r="616" spans="1:3" x14ac:dyDescent="0.3">
      <c r="A616" s="426">
        <v>40990</v>
      </c>
      <c r="B616">
        <v>4.75</v>
      </c>
      <c r="C616" t="s">
        <v>1023</v>
      </c>
    </row>
    <row r="617" spans="1:3" x14ac:dyDescent="0.3">
      <c r="A617" s="426">
        <v>40991</v>
      </c>
      <c r="B617">
        <v>4.6900000000000004</v>
      </c>
      <c r="C617" t="s">
        <v>1024</v>
      </c>
    </row>
    <row r="618" spans="1:3" x14ac:dyDescent="0.3">
      <c r="A618" s="426">
        <v>40992</v>
      </c>
      <c r="B618">
        <v>4.6500000000000004</v>
      </c>
      <c r="C618" t="s">
        <v>1025</v>
      </c>
    </row>
    <row r="619" spans="1:3" x14ac:dyDescent="0.3">
      <c r="A619" s="426">
        <v>40993</v>
      </c>
      <c r="B619">
        <v>4.5</v>
      </c>
      <c r="C619" t="s">
        <v>1026</v>
      </c>
    </row>
    <row r="620" spans="1:3" x14ac:dyDescent="0.3">
      <c r="A620" s="426">
        <v>40994</v>
      </c>
      <c r="B620">
        <v>4.6399999999999997</v>
      </c>
      <c r="C620" t="s">
        <v>1027</v>
      </c>
    </row>
    <row r="621" spans="1:3" x14ac:dyDescent="0.3">
      <c r="A621" s="426">
        <v>40995</v>
      </c>
      <c r="B621">
        <v>4.66</v>
      </c>
      <c r="C621" t="s">
        <v>1028</v>
      </c>
    </row>
    <row r="622" spans="1:3" x14ac:dyDescent="0.3">
      <c r="A622" s="426">
        <v>40996</v>
      </c>
      <c r="B622">
        <v>4.79</v>
      </c>
      <c r="C622" t="s">
        <v>1029</v>
      </c>
    </row>
    <row r="623" spans="1:3" x14ac:dyDescent="0.3">
      <c r="A623" s="426">
        <v>40997</v>
      </c>
      <c r="B623">
        <v>4.7300000000000004</v>
      </c>
      <c r="C623" t="s">
        <v>1030</v>
      </c>
    </row>
    <row r="624" spans="1:3" x14ac:dyDescent="0.3">
      <c r="A624" s="426">
        <v>40998</v>
      </c>
      <c r="B624">
        <v>4.7699999999999996</v>
      </c>
      <c r="C624" t="s">
        <v>1031</v>
      </c>
    </row>
    <row r="625" spans="1:3" x14ac:dyDescent="0.3">
      <c r="A625" s="426">
        <v>40999</v>
      </c>
      <c r="B625">
        <v>4.88</v>
      </c>
      <c r="C625" t="s">
        <v>1032</v>
      </c>
    </row>
    <row r="626" spans="1:3" x14ac:dyDescent="0.3">
      <c r="A626" s="426">
        <v>41000</v>
      </c>
      <c r="B626">
        <v>4.78</v>
      </c>
      <c r="C626" t="s">
        <v>1033</v>
      </c>
    </row>
    <row r="627" spans="1:3" x14ac:dyDescent="0.3">
      <c r="A627" s="426">
        <v>41001</v>
      </c>
      <c r="B627">
        <v>4.92</v>
      </c>
      <c r="C627" t="s">
        <v>1034</v>
      </c>
    </row>
    <row r="628" spans="1:3" x14ac:dyDescent="0.3">
      <c r="A628" s="426">
        <v>41002</v>
      </c>
      <c r="B628">
        <v>4.9000000000000004</v>
      </c>
      <c r="C628" t="s">
        <v>1035</v>
      </c>
    </row>
    <row r="629" spans="1:3" x14ac:dyDescent="0.3">
      <c r="A629" s="426">
        <v>41003</v>
      </c>
      <c r="B629">
        <v>4.91</v>
      </c>
      <c r="C629" t="s">
        <v>1036</v>
      </c>
    </row>
    <row r="630" spans="1:3" x14ac:dyDescent="0.3">
      <c r="A630" s="426">
        <v>41004</v>
      </c>
      <c r="B630">
        <v>4.9000000000000004</v>
      </c>
      <c r="C630" t="s">
        <v>1037</v>
      </c>
    </row>
    <row r="631" spans="1:3" x14ac:dyDescent="0.3">
      <c r="A631" s="426">
        <v>41005</v>
      </c>
      <c r="B631">
        <v>4.93</v>
      </c>
      <c r="C631" t="s">
        <v>1038</v>
      </c>
    </row>
    <row r="632" spans="1:3" x14ac:dyDescent="0.3">
      <c r="A632" s="426">
        <v>41006</v>
      </c>
      <c r="B632">
        <v>4.8</v>
      </c>
      <c r="C632" t="s">
        <v>1039</v>
      </c>
    </row>
    <row r="633" spans="1:3" x14ac:dyDescent="0.3">
      <c r="A633" s="426">
        <v>41007</v>
      </c>
      <c r="B633">
        <v>4.71</v>
      </c>
      <c r="C633" t="s">
        <v>1040</v>
      </c>
    </row>
    <row r="634" spans="1:3" x14ac:dyDescent="0.3">
      <c r="A634" s="426">
        <v>41008</v>
      </c>
      <c r="B634">
        <v>4.75</v>
      </c>
      <c r="C634" t="s">
        <v>1041</v>
      </c>
    </row>
    <row r="635" spans="1:3" x14ac:dyDescent="0.3">
      <c r="A635" s="426">
        <v>41009</v>
      </c>
      <c r="B635">
        <v>4.8</v>
      </c>
      <c r="C635" t="s">
        <v>1042</v>
      </c>
    </row>
    <row r="636" spans="1:3" x14ac:dyDescent="0.3">
      <c r="A636" s="426">
        <v>41010</v>
      </c>
      <c r="B636">
        <v>4.88</v>
      </c>
      <c r="C636" t="s">
        <v>1043</v>
      </c>
    </row>
    <row r="637" spans="1:3" x14ac:dyDescent="0.3">
      <c r="A637" s="426">
        <v>41011</v>
      </c>
      <c r="B637">
        <v>4.8600000000000003</v>
      </c>
      <c r="C637" t="s">
        <v>1044</v>
      </c>
    </row>
    <row r="638" spans="1:3" x14ac:dyDescent="0.3">
      <c r="A638" s="426">
        <v>41012</v>
      </c>
      <c r="B638">
        <v>4.8499999999999996</v>
      </c>
      <c r="C638" t="s">
        <v>1045</v>
      </c>
    </row>
    <row r="639" spans="1:3" x14ac:dyDescent="0.3">
      <c r="A639" s="426">
        <v>41013</v>
      </c>
      <c r="B639">
        <v>4.97</v>
      </c>
      <c r="C639" t="s">
        <v>1046</v>
      </c>
    </row>
    <row r="640" spans="1:3" x14ac:dyDescent="0.3">
      <c r="A640" s="426">
        <v>41014</v>
      </c>
      <c r="B640">
        <v>4.92</v>
      </c>
      <c r="C640" t="s">
        <v>1047</v>
      </c>
    </row>
    <row r="641" spans="1:3" x14ac:dyDescent="0.3">
      <c r="A641" s="426">
        <v>41015</v>
      </c>
      <c r="B641">
        <v>4.91</v>
      </c>
      <c r="C641" t="s">
        <v>1048</v>
      </c>
    </row>
    <row r="642" spans="1:3" x14ac:dyDescent="0.3">
      <c r="A642" s="426">
        <v>41016</v>
      </c>
      <c r="B642">
        <v>4.95</v>
      </c>
      <c r="C642" t="s">
        <v>1049</v>
      </c>
    </row>
    <row r="643" spans="1:3" x14ac:dyDescent="0.3">
      <c r="A643" s="426">
        <v>41017</v>
      </c>
      <c r="B643">
        <v>5.07</v>
      </c>
      <c r="C643" t="s">
        <v>1050</v>
      </c>
    </row>
    <row r="644" spans="1:3" x14ac:dyDescent="0.3">
      <c r="A644" s="426">
        <v>41018</v>
      </c>
      <c r="B644">
        <v>5.13</v>
      </c>
      <c r="C644" t="s">
        <v>1051</v>
      </c>
    </row>
    <row r="645" spans="1:3" x14ac:dyDescent="0.3">
      <c r="A645" s="426">
        <v>41019</v>
      </c>
      <c r="B645">
        <v>5.22</v>
      </c>
      <c r="C645" t="s">
        <v>1052</v>
      </c>
    </row>
    <row r="646" spans="1:3" x14ac:dyDescent="0.3">
      <c r="A646" s="426">
        <v>41020</v>
      </c>
      <c r="B646">
        <v>5.27</v>
      </c>
      <c r="C646" t="s">
        <v>1053</v>
      </c>
    </row>
    <row r="647" spans="1:3" x14ac:dyDescent="0.3">
      <c r="A647" s="426">
        <v>41021</v>
      </c>
      <c r="B647">
        <v>5.18</v>
      </c>
      <c r="C647" t="s">
        <v>1054</v>
      </c>
    </row>
    <row r="648" spans="1:3" x14ac:dyDescent="0.3">
      <c r="A648" s="426">
        <v>41022</v>
      </c>
      <c r="B648">
        <v>5.12</v>
      </c>
      <c r="C648" t="s">
        <v>1055</v>
      </c>
    </row>
    <row r="649" spans="1:3" x14ac:dyDescent="0.3">
      <c r="A649" s="426">
        <v>41023</v>
      </c>
      <c r="B649">
        <v>5.0599999999999996</v>
      </c>
      <c r="C649" t="s">
        <v>1056</v>
      </c>
    </row>
    <row r="650" spans="1:3" x14ac:dyDescent="0.3">
      <c r="A650" s="426">
        <v>41024</v>
      </c>
      <c r="B650">
        <v>5.12</v>
      </c>
      <c r="C650" t="s">
        <v>1057</v>
      </c>
    </row>
    <row r="651" spans="1:3" x14ac:dyDescent="0.3">
      <c r="A651" s="426">
        <v>41025</v>
      </c>
      <c r="B651">
        <v>5.07</v>
      </c>
      <c r="C651" t="s">
        <v>1058</v>
      </c>
    </row>
    <row r="652" spans="1:3" x14ac:dyDescent="0.3">
      <c r="A652" s="426">
        <v>41026</v>
      </c>
      <c r="B652">
        <v>5.07</v>
      </c>
      <c r="C652" t="s">
        <v>1059</v>
      </c>
    </row>
    <row r="653" spans="1:3" x14ac:dyDescent="0.3">
      <c r="A653" s="426">
        <v>41027</v>
      </c>
      <c r="B653">
        <v>4.96</v>
      </c>
      <c r="C653" t="s">
        <v>1060</v>
      </c>
    </row>
    <row r="654" spans="1:3" x14ac:dyDescent="0.3">
      <c r="A654" s="426">
        <v>41028</v>
      </c>
      <c r="B654">
        <v>4.9400000000000004</v>
      </c>
      <c r="C654" t="s">
        <v>1061</v>
      </c>
    </row>
    <row r="655" spans="1:3" x14ac:dyDescent="0.3">
      <c r="A655" s="426">
        <v>41029</v>
      </c>
      <c r="B655">
        <v>4.9400000000000004</v>
      </c>
      <c r="C655" t="s">
        <v>1062</v>
      </c>
    </row>
    <row r="656" spans="1:3" x14ac:dyDescent="0.3">
      <c r="A656" s="426">
        <v>41030</v>
      </c>
      <c r="B656">
        <v>4.96</v>
      </c>
      <c r="C656" t="s">
        <v>1063</v>
      </c>
    </row>
    <row r="657" spans="1:3" x14ac:dyDescent="0.3">
      <c r="A657" s="426">
        <v>41031</v>
      </c>
      <c r="B657">
        <v>5.07</v>
      </c>
      <c r="C657" t="s">
        <v>1064</v>
      </c>
    </row>
    <row r="658" spans="1:3" x14ac:dyDescent="0.3">
      <c r="A658" s="426">
        <v>41032</v>
      </c>
      <c r="B658">
        <v>5.08</v>
      </c>
      <c r="C658" t="s">
        <v>1065</v>
      </c>
    </row>
    <row r="659" spans="1:3" x14ac:dyDescent="0.3">
      <c r="A659" s="426">
        <v>41033</v>
      </c>
      <c r="B659">
        <v>5.1100000000000003</v>
      </c>
      <c r="C659" t="s">
        <v>1066</v>
      </c>
    </row>
    <row r="660" spans="1:3" x14ac:dyDescent="0.3">
      <c r="A660" s="426">
        <v>41034</v>
      </c>
      <c r="B660">
        <v>5.04</v>
      </c>
      <c r="C660" t="s">
        <v>1067</v>
      </c>
    </row>
    <row r="661" spans="1:3" x14ac:dyDescent="0.3">
      <c r="A661" s="426">
        <v>41035</v>
      </c>
      <c r="B661">
        <v>5.04</v>
      </c>
      <c r="C661" t="s">
        <v>1068</v>
      </c>
    </row>
    <row r="662" spans="1:3" x14ac:dyDescent="0.3">
      <c r="A662" s="426">
        <v>41036</v>
      </c>
      <c r="B662">
        <v>5.03</v>
      </c>
      <c r="C662" t="s">
        <v>1069</v>
      </c>
    </row>
    <row r="663" spans="1:3" x14ac:dyDescent="0.3">
      <c r="A663" s="426">
        <v>41037</v>
      </c>
      <c r="B663">
        <v>5.0199999999999996</v>
      </c>
      <c r="C663" t="s">
        <v>1070</v>
      </c>
    </row>
    <row r="664" spans="1:3" x14ac:dyDescent="0.3">
      <c r="A664" s="426">
        <v>41038</v>
      </c>
      <c r="B664">
        <v>5.04</v>
      </c>
      <c r="C664" t="s">
        <v>1071</v>
      </c>
    </row>
    <row r="665" spans="1:3" x14ac:dyDescent="0.3">
      <c r="A665" s="426">
        <v>41039</v>
      </c>
      <c r="B665">
        <v>4.95</v>
      </c>
      <c r="C665" t="s">
        <v>1072</v>
      </c>
    </row>
    <row r="666" spans="1:3" x14ac:dyDescent="0.3">
      <c r="A666" s="426">
        <v>41040</v>
      </c>
      <c r="B666">
        <v>4.92</v>
      </c>
      <c r="C666" t="s">
        <v>1073</v>
      </c>
    </row>
    <row r="667" spans="1:3" x14ac:dyDescent="0.3">
      <c r="A667" s="426">
        <v>41041</v>
      </c>
      <c r="B667">
        <v>4.9400000000000004</v>
      </c>
      <c r="C667" t="s">
        <v>1074</v>
      </c>
    </row>
    <row r="668" spans="1:3" x14ac:dyDescent="0.3">
      <c r="A668" s="426">
        <v>41042</v>
      </c>
      <c r="B668">
        <v>4.95</v>
      </c>
      <c r="C668" t="s">
        <v>1075</v>
      </c>
    </row>
    <row r="669" spans="1:3" x14ac:dyDescent="0.3">
      <c r="A669" s="426">
        <v>41043</v>
      </c>
      <c r="B669">
        <v>4.9800000000000004</v>
      </c>
      <c r="C669" t="s">
        <v>1076</v>
      </c>
    </row>
    <row r="670" spans="1:3" x14ac:dyDescent="0.3">
      <c r="A670" s="426">
        <v>41044</v>
      </c>
      <c r="B670">
        <v>4.99</v>
      </c>
      <c r="C670" t="s">
        <v>1077</v>
      </c>
    </row>
    <row r="671" spans="1:3" x14ac:dyDescent="0.3">
      <c r="A671" s="426">
        <v>41045</v>
      </c>
      <c r="B671">
        <v>5.0599999999999996</v>
      </c>
      <c r="C671" t="s">
        <v>1078</v>
      </c>
    </row>
    <row r="672" spans="1:3" x14ac:dyDescent="0.3">
      <c r="A672" s="426">
        <v>41046</v>
      </c>
      <c r="B672">
        <v>5.07</v>
      </c>
      <c r="C672" t="s">
        <v>1079</v>
      </c>
    </row>
    <row r="673" spans="1:3" x14ac:dyDescent="0.3">
      <c r="A673" s="426">
        <v>41047</v>
      </c>
      <c r="B673">
        <v>5.09</v>
      </c>
      <c r="C673" t="s">
        <v>1080</v>
      </c>
    </row>
    <row r="674" spans="1:3" x14ac:dyDescent="0.3">
      <c r="A674" s="426">
        <v>41048</v>
      </c>
      <c r="B674">
        <v>5.09</v>
      </c>
      <c r="C674" t="s">
        <v>1081</v>
      </c>
    </row>
    <row r="675" spans="1:3" x14ac:dyDescent="0.3">
      <c r="A675" s="426">
        <v>41049</v>
      </c>
      <c r="B675">
        <v>5.0999999999999996</v>
      </c>
      <c r="C675" t="s">
        <v>1082</v>
      </c>
    </row>
    <row r="676" spans="1:3" x14ac:dyDescent="0.3">
      <c r="A676" s="426">
        <v>41050</v>
      </c>
      <c r="B676">
        <v>5.07</v>
      </c>
      <c r="C676" t="s">
        <v>1083</v>
      </c>
    </row>
    <row r="677" spans="1:3" x14ac:dyDescent="0.3">
      <c r="A677" s="426">
        <v>41051</v>
      </c>
      <c r="B677">
        <v>5.07</v>
      </c>
      <c r="C677" t="s">
        <v>1084</v>
      </c>
    </row>
    <row r="678" spans="1:3" x14ac:dyDescent="0.3">
      <c r="A678" s="426">
        <v>41052</v>
      </c>
      <c r="B678">
        <v>5.12</v>
      </c>
      <c r="C678" t="s">
        <v>1085</v>
      </c>
    </row>
    <row r="679" spans="1:3" x14ac:dyDescent="0.3">
      <c r="A679" s="426">
        <v>41053</v>
      </c>
      <c r="B679">
        <v>5.1100000000000003</v>
      </c>
      <c r="C679" t="s">
        <v>1086</v>
      </c>
    </row>
    <row r="680" spans="1:3" x14ac:dyDescent="0.3">
      <c r="A680" s="426">
        <v>41054</v>
      </c>
      <c r="B680">
        <v>5.0999999999999996</v>
      </c>
      <c r="C680" t="s">
        <v>1087</v>
      </c>
    </row>
    <row r="681" spans="1:3" x14ac:dyDescent="0.3">
      <c r="A681" s="426">
        <v>41055</v>
      </c>
      <c r="B681">
        <v>5.09</v>
      </c>
      <c r="C681" t="s">
        <v>1088</v>
      </c>
    </row>
    <row r="682" spans="1:3" x14ac:dyDescent="0.3">
      <c r="A682" s="426">
        <v>41056</v>
      </c>
      <c r="B682">
        <v>5.08</v>
      </c>
      <c r="C682" t="s">
        <v>1089</v>
      </c>
    </row>
    <row r="683" spans="1:3" x14ac:dyDescent="0.3">
      <c r="A683" s="426">
        <v>41057</v>
      </c>
      <c r="B683">
        <v>5.1100000000000003</v>
      </c>
      <c r="C683" t="s">
        <v>1090</v>
      </c>
    </row>
    <row r="684" spans="1:3" x14ac:dyDescent="0.3">
      <c r="A684" s="426">
        <v>41058</v>
      </c>
      <c r="B684">
        <v>5.0999999999999996</v>
      </c>
      <c r="C684" t="s">
        <v>1091</v>
      </c>
    </row>
    <row r="685" spans="1:3" x14ac:dyDescent="0.3">
      <c r="A685" s="426">
        <v>41059</v>
      </c>
      <c r="B685">
        <v>5.13</v>
      </c>
      <c r="C685" t="s">
        <v>1092</v>
      </c>
    </row>
    <row r="686" spans="1:3" x14ac:dyDescent="0.3">
      <c r="A686" s="426">
        <v>41060</v>
      </c>
      <c r="B686">
        <v>5.15</v>
      </c>
      <c r="C686" t="s">
        <v>1093</v>
      </c>
    </row>
    <row r="687" spans="1:3" x14ac:dyDescent="0.3">
      <c r="A687" s="426">
        <v>41061</v>
      </c>
      <c r="B687">
        <v>5.23</v>
      </c>
      <c r="C687" t="s">
        <v>1094</v>
      </c>
    </row>
    <row r="688" spans="1:3" x14ac:dyDescent="0.3">
      <c r="A688" s="426">
        <v>41062</v>
      </c>
      <c r="B688">
        <v>5.21</v>
      </c>
      <c r="C688" t="s">
        <v>1095</v>
      </c>
    </row>
    <row r="689" spans="1:3" x14ac:dyDescent="0.3">
      <c r="A689" s="426">
        <v>41063</v>
      </c>
      <c r="B689">
        <v>5.19</v>
      </c>
      <c r="C689" t="s">
        <v>1096</v>
      </c>
    </row>
    <row r="690" spans="1:3" x14ac:dyDescent="0.3">
      <c r="A690" s="426">
        <v>41064</v>
      </c>
      <c r="B690">
        <v>5.23</v>
      </c>
      <c r="C690" t="s">
        <v>1097</v>
      </c>
    </row>
    <row r="691" spans="1:3" x14ac:dyDescent="0.3">
      <c r="A691" s="426">
        <v>41065</v>
      </c>
      <c r="B691">
        <v>5.38</v>
      </c>
      <c r="C691" t="s">
        <v>1098</v>
      </c>
    </row>
    <row r="692" spans="1:3" x14ac:dyDescent="0.3">
      <c r="A692" s="426">
        <v>41066</v>
      </c>
      <c r="B692">
        <v>5.43</v>
      </c>
      <c r="C692" t="s">
        <v>1099</v>
      </c>
    </row>
    <row r="693" spans="1:3" x14ac:dyDescent="0.3">
      <c r="A693" s="426">
        <v>41067</v>
      </c>
      <c r="B693">
        <v>5.49</v>
      </c>
      <c r="C693" t="s">
        <v>1100</v>
      </c>
    </row>
    <row r="694" spans="1:3" x14ac:dyDescent="0.3">
      <c r="A694" s="426">
        <v>41068</v>
      </c>
      <c r="B694">
        <v>5.61</v>
      </c>
      <c r="C694" t="s">
        <v>1101</v>
      </c>
    </row>
    <row r="695" spans="1:3" x14ac:dyDescent="0.3">
      <c r="A695" s="426">
        <v>41069</v>
      </c>
      <c r="B695">
        <v>5.57</v>
      </c>
      <c r="C695" t="s">
        <v>1102</v>
      </c>
    </row>
    <row r="696" spans="1:3" x14ac:dyDescent="0.3">
      <c r="A696" s="426">
        <v>41070</v>
      </c>
      <c r="B696">
        <v>5.46</v>
      </c>
      <c r="C696" t="s">
        <v>1103</v>
      </c>
    </row>
    <row r="697" spans="1:3" x14ac:dyDescent="0.3">
      <c r="A697" s="426">
        <v>41071</v>
      </c>
      <c r="B697">
        <v>5.49</v>
      </c>
      <c r="C697" t="s">
        <v>1104</v>
      </c>
    </row>
    <row r="698" spans="1:3" x14ac:dyDescent="0.3">
      <c r="A698" s="426">
        <v>41072</v>
      </c>
      <c r="B698">
        <v>5.62</v>
      </c>
      <c r="C698" t="s">
        <v>1105</v>
      </c>
    </row>
    <row r="699" spans="1:3" x14ac:dyDescent="0.3">
      <c r="A699" s="426">
        <v>41073</v>
      </c>
      <c r="B699">
        <v>5.85</v>
      </c>
      <c r="C699" t="s">
        <v>1106</v>
      </c>
    </row>
    <row r="700" spans="1:3" x14ac:dyDescent="0.3">
      <c r="A700" s="426">
        <v>41074</v>
      </c>
      <c r="B700">
        <v>5.88</v>
      </c>
      <c r="C700" t="s">
        <v>1107</v>
      </c>
    </row>
    <row r="701" spans="1:3" x14ac:dyDescent="0.3">
      <c r="A701" s="426">
        <v>41075</v>
      </c>
      <c r="B701">
        <v>6.1</v>
      </c>
      <c r="C701" t="s">
        <v>1108</v>
      </c>
    </row>
    <row r="702" spans="1:3" x14ac:dyDescent="0.3">
      <c r="A702" s="426">
        <v>41076</v>
      </c>
      <c r="B702">
        <v>6.45</v>
      </c>
      <c r="C702" t="s">
        <v>1109</v>
      </c>
    </row>
    <row r="703" spans="1:3" x14ac:dyDescent="0.3">
      <c r="A703" s="426">
        <v>41077</v>
      </c>
      <c r="B703">
        <v>6.31</v>
      </c>
      <c r="C703" t="s">
        <v>1110</v>
      </c>
    </row>
    <row r="704" spans="1:3" x14ac:dyDescent="0.3">
      <c r="A704" s="426">
        <v>41078</v>
      </c>
      <c r="B704">
        <v>6.26</v>
      </c>
      <c r="C704" t="s">
        <v>1111</v>
      </c>
    </row>
    <row r="705" spans="1:3" x14ac:dyDescent="0.3">
      <c r="A705" s="426">
        <v>41079</v>
      </c>
      <c r="B705">
        <v>6.43</v>
      </c>
      <c r="C705" t="s">
        <v>1112</v>
      </c>
    </row>
    <row r="706" spans="1:3" x14ac:dyDescent="0.3">
      <c r="A706" s="426">
        <v>41080</v>
      </c>
      <c r="B706">
        <v>6.6</v>
      </c>
      <c r="C706" t="s">
        <v>1113</v>
      </c>
    </row>
    <row r="707" spans="1:3" x14ac:dyDescent="0.3">
      <c r="A707" s="426">
        <v>41081</v>
      </c>
      <c r="B707">
        <v>6.68</v>
      </c>
      <c r="C707" t="s">
        <v>1114</v>
      </c>
    </row>
    <row r="708" spans="1:3" x14ac:dyDescent="0.3">
      <c r="A708" s="426">
        <v>41082</v>
      </c>
      <c r="B708">
        <v>6.58</v>
      </c>
      <c r="C708" t="s">
        <v>1115</v>
      </c>
    </row>
    <row r="709" spans="1:3" x14ac:dyDescent="0.3">
      <c r="A709" s="426">
        <v>41083</v>
      </c>
      <c r="B709">
        <v>6.48</v>
      </c>
      <c r="C709" t="s">
        <v>1116</v>
      </c>
    </row>
    <row r="710" spans="1:3" x14ac:dyDescent="0.3">
      <c r="A710" s="426">
        <v>41084</v>
      </c>
      <c r="B710">
        <v>6.38</v>
      </c>
      <c r="C710" t="s">
        <v>1117</v>
      </c>
    </row>
    <row r="711" spans="1:3" x14ac:dyDescent="0.3">
      <c r="A711" s="426">
        <v>41085</v>
      </c>
      <c r="B711">
        <v>6.3</v>
      </c>
      <c r="C711" t="s">
        <v>1118</v>
      </c>
    </row>
    <row r="712" spans="1:3" x14ac:dyDescent="0.3">
      <c r="A712" s="426">
        <v>41086</v>
      </c>
      <c r="B712">
        <v>6.38</v>
      </c>
      <c r="C712" t="s">
        <v>1119</v>
      </c>
    </row>
    <row r="713" spans="1:3" x14ac:dyDescent="0.3">
      <c r="A713" s="426">
        <v>41087</v>
      </c>
      <c r="B713">
        <v>6.52</v>
      </c>
      <c r="C713" t="s">
        <v>1120</v>
      </c>
    </row>
    <row r="714" spans="1:3" x14ac:dyDescent="0.3">
      <c r="A714" s="426">
        <v>41088</v>
      </c>
      <c r="B714">
        <v>6.56</v>
      </c>
      <c r="C714" t="s">
        <v>1121</v>
      </c>
    </row>
    <row r="715" spans="1:3" x14ac:dyDescent="0.3">
      <c r="A715" s="426">
        <v>41089</v>
      </c>
      <c r="B715">
        <v>6.59</v>
      </c>
      <c r="C715" t="s">
        <v>1122</v>
      </c>
    </row>
    <row r="716" spans="1:3" x14ac:dyDescent="0.3">
      <c r="A716" s="426">
        <v>41090</v>
      </c>
      <c r="B716">
        <v>6.64</v>
      </c>
      <c r="C716" t="s">
        <v>1123</v>
      </c>
    </row>
    <row r="717" spans="1:3" x14ac:dyDescent="0.3">
      <c r="A717" s="426">
        <v>41091</v>
      </c>
      <c r="B717">
        <v>6.6</v>
      </c>
      <c r="C717" t="s">
        <v>1124</v>
      </c>
    </row>
    <row r="718" spans="1:3" x14ac:dyDescent="0.3">
      <c r="A718" s="426">
        <v>41092</v>
      </c>
      <c r="B718">
        <v>6.68</v>
      </c>
      <c r="C718" t="s">
        <v>1125</v>
      </c>
    </row>
    <row r="719" spans="1:3" x14ac:dyDescent="0.3">
      <c r="A719" s="426">
        <v>41093</v>
      </c>
      <c r="B719">
        <v>6.55</v>
      </c>
      <c r="C719" t="s">
        <v>1126</v>
      </c>
    </row>
    <row r="720" spans="1:3" x14ac:dyDescent="0.3">
      <c r="A720" s="426">
        <v>41094</v>
      </c>
      <c r="B720">
        <v>6.5</v>
      </c>
      <c r="C720" t="s">
        <v>1127</v>
      </c>
    </row>
    <row r="721" spans="1:3" x14ac:dyDescent="0.3">
      <c r="A721" s="426">
        <v>41095</v>
      </c>
      <c r="B721">
        <v>6.64</v>
      </c>
      <c r="C721" t="s">
        <v>1128</v>
      </c>
    </row>
    <row r="722" spans="1:3" x14ac:dyDescent="0.3">
      <c r="A722" s="426">
        <v>41096</v>
      </c>
      <c r="B722">
        <v>6.63</v>
      </c>
      <c r="C722" t="s">
        <v>1129</v>
      </c>
    </row>
    <row r="723" spans="1:3" x14ac:dyDescent="0.3">
      <c r="A723" s="426">
        <v>41097</v>
      </c>
      <c r="B723">
        <v>6.76</v>
      </c>
      <c r="C723" t="s">
        <v>1130</v>
      </c>
    </row>
    <row r="724" spans="1:3" x14ac:dyDescent="0.3">
      <c r="A724" s="426">
        <v>41098</v>
      </c>
      <c r="B724">
        <v>6.77</v>
      </c>
      <c r="C724" t="s">
        <v>1131</v>
      </c>
    </row>
    <row r="725" spans="1:3" x14ac:dyDescent="0.3">
      <c r="A725" s="426">
        <v>41099</v>
      </c>
      <c r="B725">
        <v>6.86</v>
      </c>
      <c r="C725" t="s">
        <v>1132</v>
      </c>
    </row>
    <row r="726" spans="1:3" x14ac:dyDescent="0.3">
      <c r="A726" s="426">
        <v>41100</v>
      </c>
      <c r="B726">
        <v>7.09</v>
      </c>
      <c r="C726" t="s">
        <v>1133</v>
      </c>
    </row>
    <row r="727" spans="1:3" x14ac:dyDescent="0.3">
      <c r="A727" s="426">
        <v>41101</v>
      </c>
      <c r="B727">
        <v>7.1</v>
      </c>
      <c r="C727" t="s">
        <v>1134</v>
      </c>
    </row>
    <row r="728" spans="1:3" x14ac:dyDescent="0.3">
      <c r="A728" s="426">
        <v>41102</v>
      </c>
      <c r="B728">
        <v>7.28</v>
      </c>
      <c r="C728" t="s">
        <v>1135</v>
      </c>
    </row>
    <row r="729" spans="1:3" x14ac:dyDescent="0.3">
      <c r="A729" s="426">
        <v>41103</v>
      </c>
      <c r="B729">
        <v>7.63</v>
      </c>
      <c r="C729" t="s">
        <v>1136</v>
      </c>
    </row>
    <row r="730" spans="1:3" x14ac:dyDescent="0.3">
      <c r="A730" s="426">
        <v>41104</v>
      </c>
      <c r="B730">
        <v>7.59</v>
      </c>
      <c r="C730" t="s">
        <v>1137</v>
      </c>
    </row>
    <row r="731" spans="1:3" x14ac:dyDescent="0.3">
      <c r="A731" s="426">
        <v>41105</v>
      </c>
      <c r="B731">
        <v>7.57</v>
      </c>
      <c r="C731" t="s">
        <v>1138</v>
      </c>
    </row>
    <row r="732" spans="1:3" x14ac:dyDescent="0.3">
      <c r="A732" s="426">
        <v>41106</v>
      </c>
      <c r="B732">
        <v>8.0500000000000007</v>
      </c>
      <c r="C732" t="s">
        <v>1139</v>
      </c>
    </row>
    <row r="733" spans="1:3" x14ac:dyDescent="0.3">
      <c r="A733" s="426">
        <v>41107</v>
      </c>
      <c r="B733">
        <v>8.33</v>
      </c>
      <c r="C733" t="s">
        <v>1140</v>
      </c>
    </row>
    <row r="734" spans="1:3" x14ac:dyDescent="0.3">
      <c r="A734" s="426">
        <v>41108</v>
      </c>
      <c r="B734">
        <v>9</v>
      </c>
      <c r="C734" t="s">
        <v>1141</v>
      </c>
    </row>
    <row r="735" spans="1:3" x14ac:dyDescent="0.3">
      <c r="A735" s="426">
        <v>41109</v>
      </c>
      <c r="B735">
        <v>9.08</v>
      </c>
      <c r="C735" t="s">
        <v>1142</v>
      </c>
    </row>
    <row r="736" spans="1:3" x14ac:dyDescent="0.3">
      <c r="A736" s="426">
        <v>41110</v>
      </c>
      <c r="B736">
        <v>8.1999999999999993</v>
      </c>
      <c r="C736" t="s">
        <v>1143</v>
      </c>
    </row>
    <row r="737" spans="1:3" x14ac:dyDescent="0.3">
      <c r="A737" s="426">
        <v>41111</v>
      </c>
      <c r="B737">
        <v>8.8699999999999992</v>
      </c>
      <c r="C737" t="s">
        <v>1144</v>
      </c>
    </row>
    <row r="738" spans="1:3" x14ac:dyDescent="0.3">
      <c r="A738" s="426">
        <v>41112</v>
      </c>
      <c r="B738">
        <v>8.61</v>
      </c>
      <c r="C738" t="s">
        <v>1145</v>
      </c>
    </row>
    <row r="739" spans="1:3" x14ac:dyDescent="0.3">
      <c r="A739" s="426">
        <v>41113</v>
      </c>
      <c r="B739">
        <v>8.4600000000000009</v>
      </c>
      <c r="C739" t="s">
        <v>1146</v>
      </c>
    </row>
    <row r="740" spans="1:3" x14ac:dyDescent="0.3">
      <c r="A740" s="426">
        <v>41114</v>
      </c>
      <c r="B740">
        <v>8.61</v>
      </c>
      <c r="C740" t="s">
        <v>1147</v>
      </c>
    </row>
    <row r="741" spans="1:3" x14ac:dyDescent="0.3">
      <c r="A741" s="426">
        <v>41115</v>
      </c>
      <c r="B741">
        <v>8.58</v>
      </c>
      <c r="C741" t="s">
        <v>1148</v>
      </c>
    </row>
    <row r="742" spans="1:3" x14ac:dyDescent="0.3">
      <c r="A742" s="426">
        <v>41116</v>
      </c>
      <c r="B742">
        <v>8.75</v>
      </c>
      <c r="C742" t="s">
        <v>1149</v>
      </c>
    </row>
    <row r="743" spans="1:3" x14ac:dyDescent="0.3">
      <c r="A743" s="426">
        <v>41117</v>
      </c>
      <c r="B743">
        <v>8.8800000000000008</v>
      </c>
      <c r="C743" t="s">
        <v>1150</v>
      </c>
    </row>
    <row r="744" spans="1:3" x14ac:dyDescent="0.3">
      <c r="A744" s="426">
        <v>41118</v>
      </c>
      <c r="B744">
        <v>8.85</v>
      </c>
      <c r="C744" t="s">
        <v>1151</v>
      </c>
    </row>
    <row r="745" spans="1:3" x14ac:dyDescent="0.3">
      <c r="A745" s="426">
        <v>41119</v>
      </c>
      <c r="B745">
        <v>8.76</v>
      </c>
      <c r="C745" t="s">
        <v>1152</v>
      </c>
    </row>
    <row r="746" spans="1:3" x14ac:dyDescent="0.3">
      <c r="A746" s="426">
        <v>41120</v>
      </c>
      <c r="B746">
        <v>8.92</v>
      </c>
      <c r="C746" t="s">
        <v>1153</v>
      </c>
    </row>
    <row r="747" spans="1:3" x14ac:dyDescent="0.3">
      <c r="A747" s="426">
        <v>41121</v>
      </c>
      <c r="B747">
        <v>9.24</v>
      </c>
      <c r="C747" t="s">
        <v>1154</v>
      </c>
    </row>
    <row r="748" spans="1:3" x14ac:dyDescent="0.3">
      <c r="A748" s="426">
        <v>41122</v>
      </c>
      <c r="B748">
        <v>9.4</v>
      </c>
      <c r="C748" t="s">
        <v>1155</v>
      </c>
    </row>
    <row r="749" spans="1:3" x14ac:dyDescent="0.3">
      <c r="A749" s="426">
        <v>41123</v>
      </c>
      <c r="B749">
        <v>10.1</v>
      </c>
      <c r="C749" t="s">
        <v>1156</v>
      </c>
    </row>
    <row r="750" spans="1:3" x14ac:dyDescent="0.3">
      <c r="A750" s="426">
        <v>41124</v>
      </c>
      <c r="B750">
        <v>10.71</v>
      </c>
      <c r="C750" t="s">
        <v>1157</v>
      </c>
    </row>
    <row r="751" spans="1:3" x14ac:dyDescent="0.3">
      <c r="A751" s="426">
        <v>41125</v>
      </c>
      <c r="B751">
        <v>10.99</v>
      </c>
      <c r="C751" t="s">
        <v>1158</v>
      </c>
    </row>
    <row r="752" spans="1:3" x14ac:dyDescent="0.3">
      <c r="A752" s="426">
        <v>41126</v>
      </c>
      <c r="B752">
        <v>10.6</v>
      </c>
      <c r="C752" t="s">
        <v>1159</v>
      </c>
    </row>
    <row r="753" spans="1:3" x14ac:dyDescent="0.3">
      <c r="A753" s="426">
        <v>41127</v>
      </c>
      <c r="B753">
        <v>10.87</v>
      </c>
      <c r="C753" t="s">
        <v>1160</v>
      </c>
    </row>
    <row r="754" spans="1:3" x14ac:dyDescent="0.3">
      <c r="A754" s="426">
        <v>41128</v>
      </c>
      <c r="B754">
        <v>10.81</v>
      </c>
      <c r="C754" t="s">
        <v>1161</v>
      </c>
    </row>
    <row r="755" spans="1:3" x14ac:dyDescent="0.3">
      <c r="A755" s="426">
        <v>41129</v>
      </c>
      <c r="B755">
        <v>11.01</v>
      </c>
      <c r="C755" t="s">
        <v>1162</v>
      </c>
    </row>
    <row r="756" spans="1:3" x14ac:dyDescent="0.3">
      <c r="A756" s="426">
        <v>41130</v>
      </c>
      <c r="B756">
        <v>11.32</v>
      </c>
      <c r="C756" t="s">
        <v>1163</v>
      </c>
    </row>
    <row r="757" spans="1:3" x14ac:dyDescent="0.3">
      <c r="A757" s="426">
        <v>41131</v>
      </c>
      <c r="B757">
        <v>11.37</v>
      </c>
      <c r="C757" t="s">
        <v>1164</v>
      </c>
    </row>
    <row r="758" spans="1:3" x14ac:dyDescent="0.3">
      <c r="A758" s="426">
        <v>41132</v>
      </c>
      <c r="B758">
        <v>11.49</v>
      </c>
      <c r="C758" t="s">
        <v>1165</v>
      </c>
    </row>
    <row r="759" spans="1:3" x14ac:dyDescent="0.3">
      <c r="A759" s="426">
        <v>41133</v>
      </c>
      <c r="B759">
        <v>11.62</v>
      </c>
      <c r="C759" t="s">
        <v>1166</v>
      </c>
    </row>
    <row r="760" spans="1:3" x14ac:dyDescent="0.3">
      <c r="A760" s="426">
        <v>41134</v>
      </c>
      <c r="B760">
        <v>11.75</v>
      </c>
      <c r="C760" t="s">
        <v>1167</v>
      </c>
    </row>
    <row r="761" spans="1:3" x14ac:dyDescent="0.3">
      <c r="A761" s="426">
        <v>41135</v>
      </c>
      <c r="B761">
        <v>12.08</v>
      </c>
      <c r="C761" t="s">
        <v>1168</v>
      </c>
    </row>
    <row r="762" spans="1:3" x14ac:dyDescent="0.3">
      <c r="A762" s="426">
        <v>41136</v>
      </c>
      <c r="B762">
        <v>12.6</v>
      </c>
      <c r="C762" t="s">
        <v>1169</v>
      </c>
    </row>
    <row r="763" spans="1:3" x14ac:dyDescent="0.3">
      <c r="A763" s="426">
        <v>41137</v>
      </c>
      <c r="B763">
        <v>13.22</v>
      </c>
      <c r="C763" t="s">
        <v>1170</v>
      </c>
    </row>
    <row r="764" spans="1:3" x14ac:dyDescent="0.3">
      <c r="A764" s="426">
        <v>41138</v>
      </c>
      <c r="B764">
        <v>13.31</v>
      </c>
      <c r="C764" t="s">
        <v>1171</v>
      </c>
    </row>
    <row r="765" spans="1:3" x14ac:dyDescent="0.3">
      <c r="A765" s="426">
        <v>41139</v>
      </c>
      <c r="B765">
        <v>11.86</v>
      </c>
      <c r="C765" t="s">
        <v>1172</v>
      </c>
    </row>
    <row r="766" spans="1:3" x14ac:dyDescent="0.3">
      <c r="A766" s="426">
        <v>41140</v>
      </c>
      <c r="B766">
        <v>9.09</v>
      </c>
      <c r="C766" t="s">
        <v>1173</v>
      </c>
    </row>
    <row r="767" spans="1:3" x14ac:dyDescent="0.3">
      <c r="A767" s="426">
        <v>41141</v>
      </c>
      <c r="B767">
        <v>9.51</v>
      </c>
      <c r="C767" t="s">
        <v>1174</v>
      </c>
    </row>
    <row r="768" spans="1:3" x14ac:dyDescent="0.3">
      <c r="A768" s="426">
        <v>41142</v>
      </c>
      <c r="B768">
        <v>10.029999999999999</v>
      </c>
      <c r="C768" t="s">
        <v>1175</v>
      </c>
    </row>
    <row r="769" spans="1:3" x14ac:dyDescent="0.3">
      <c r="A769" s="426">
        <v>41143</v>
      </c>
      <c r="B769">
        <v>9.91</v>
      </c>
      <c r="C769" t="s">
        <v>1176</v>
      </c>
    </row>
    <row r="770" spans="1:3" x14ac:dyDescent="0.3">
      <c r="A770" s="426">
        <v>41144</v>
      </c>
      <c r="B770">
        <v>10</v>
      </c>
      <c r="C770" t="s">
        <v>1177</v>
      </c>
    </row>
    <row r="771" spans="1:3" x14ac:dyDescent="0.3">
      <c r="A771" s="426">
        <v>41145</v>
      </c>
      <c r="B771">
        <v>10.26</v>
      </c>
      <c r="C771" t="s">
        <v>1178</v>
      </c>
    </row>
    <row r="772" spans="1:3" x14ac:dyDescent="0.3">
      <c r="A772" s="426">
        <v>41146</v>
      </c>
      <c r="B772">
        <v>10.44</v>
      </c>
      <c r="C772" t="s">
        <v>1179</v>
      </c>
    </row>
    <row r="773" spans="1:3" x14ac:dyDescent="0.3">
      <c r="A773" s="426">
        <v>41147</v>
      </c>
      <c r="B773">
        <v>10.55</v>
      </c>
      <c r="C773" t="s">
        <v>1180</v>
      </c>
    </row>
    <row r="774" spans="1:3" x14ac:dyDescent="0.3">
      <c r="A774" s="426">
        <v>41148</v>
      </c>
      <c r="B774">
        <v>11.18</v>
      </c>
      <c r="C774" t="s">
        <v>1181</v>
      </c>
    </row>
    <row r="775" spans="1:3" x14ac:dyDescent="0.3">
      <c r="A775" s="426">
        <v>41149</v>
      </c>
      <c r="B775">
        <v>10.89</v>
      </c>
      <c r="C775" t="s">
        <v>1182</v>
      </c>
    </row>
    <row r="776" spans="1:3" x14ac:dyDescent="0.3">
      <c r="A776" s="426">
        <v>41150</v>
      </c>
      <c r="B776">
        <v>10.84</v>
      </c>
      <c r="C776" t="s">
        <v>1183</v>
      </c>
    </row>
    <row r="777" spans="1:3" x14ac:dyDescent="0.3">
      <c r="A777" s="426">
        <v>41151</v>
      </c>
      <c r="B777">
        <v>10.75</v>
      </c>
      <c r="C777" t="s">
        <v>1184</v>
      </c>
    </row>
    <row r="778" spans="1:3" x14ac:dyDescent="0.3">
      <c r="A778" s="426">
        <v>41152</v>
      </c>
      <c r="B778">
        <v>10.19</v>
      </c>
      <c r="C778" t="s">
        <v>1185</v>
      </c>
    </row>
    <row r="779" spans="1:3" x14ac:dyDescent="0.3">
      <c r="A779" s="426">
        <v>41153</v>
      </c>
      <c r="B779">
        <v>9.99</v>
      </c>
      <c r="C779" t="s">
        <v>1186</v>
      </c>
    </row>
    <row r="780" spans="1:3" x14ac:dyDescent="0.3">
      <c r="A780" s="426">
        <v>41154</v>
      </c>
      <c r="B780">
        <v>10.039999999999999</v>
      </c>
      <c r="C780" t="s">
        <v>1187</v>
      </c>
    </row>
    <row r="781" spans="1:3" x14ac:dyDescent="0.3">
      <c r="A781" s="426">
        <v>41155</v>
      </c>
      <c r="B781">
        <v>10.34</v>
      </c>
      <c r="C781" t="s">
        <v>1188</v>
      </c>
    </row>
    <row r="782" spans="1:3" x14ac:dyDescent="0.3">
      <c r="A782" s="426">
        <v>41156</v>
      </c>
      <c r="B782">
        <v>10.3</v>
      </c>
      <c r="C782" t="s">
        <v>1189</v>
      </c>
    </row>
    <row r="783" spans="1:3" x14ac:dyDescent="0.3">
      <c r="A783" s="426">
        <v>41157</v>
      </c>
      <c r="B783">
        <v>10.73</v>
      </c>
      <c r="C783" t="s">
        <v>1190</v>
      </c>
    </row>
    <row r="784" spans="1:3" x14ac:dyDescent="0.3">
      <c r="A784" s="426">
        <v>41158</v>
      </c>
      <c r="B784">
        <v>10.94</v>
      </c>
      <c r="C784" t="s">
        <v>1191</v>
      </c>
    </row>
    <row r="785" spans="1:3" x14ac:dyDescent="0.3">
      <c r="A785" s="426">
        <v>41159</v>
      </c>
      <c r="B785">
        <v>11.1</v>
      </c>
      <c r="C785" t="s">
        <v>1192</v>
      </c>
    </row>
    <row r="786" spans="1:3" x14ac:dyDescent="0.3">
      <c r="A786" s="426">
        <v>41160</v>
      </c>
      <c r="B786">
        <v>10.97</v>
      </c>
      <c r="C786" t="s">
        <v>1193</v>
      </c>
    </row>
    <row r="787" spans="1:3" x14ac:dyDescent="0.3">
      <c r="A787" s="426">
        <v>41161</v>
      </c>
      <c r="B787">
        <v>11.03</v>
      </c>
      <c r="C787" t="s">
        <v>1194</v>
      </c>
    </row>
    <row r="788" spans="1:3" x14ac:dyDescent="0.3">
      <c r="A788" s="426">
        <v>41162</v>
      </c>
      <c r="B788">
        <v>11.03</v>
      </c>
      <c r="C788" t="s">
        <v>1195</v>
      </c>
    </row>
    <row r="789" spans="1:3" x14ac:dyDescent="0.3">
      <c r="A789" s="426">
        <v>41163</v>
      </c>
      <c r="B789">
        <v>11.08</v>
      </c>
      <c r="C789" t="s">
        <v>1196</v>
      </c>
    </row>
    <row r="790" spans="1:3" x14ac:dyDescent="0.3">
      <c r="A790" s="426">
        <v>41164</v>
      </c>
      <c r="B790">
        <v>11.19</v>
      </c>
      <c r="C790" t="s">
        <v>1197</v>
      </c>
    </row>
    <row r="791" spans="1:3" x14ac:dyDescent="0.3">
      <c r="A791" s="426">
        <v>41165</v>
      </c>
      <c r="B791">
        <v>11.33</v>
      </c>
      <c r="C791" t="s">
        <v>1198</v>
      </c>
    </row>
    <row r="792" spans="1:3" x14ac:dyDescent="0.3">
      <c r="A792" s="426">
        <v>41166</v>
      </c>
      <c r="B792">
        <v>11.56</v>
      </c>
      <c r="C792" t="s">
        <v>1199</v>
      </c>
    </row>
    <row r="793" spans="1:3" x14ac:dyDescent="0.3">
      <c r="A793" s="426">
        <v>41167</v>
      </c>
      <c r="B793">
        <v>11.69</v>
      </c>
      <c r="C793" t="s">
        <v>1200</v>
      </c>
    </row>
    <row r="794" spans="1:3" x14ac:dyDescent="0.3">
      <c r="A794" s="426">
        <v>41168</v>
      </c>
      <c r="B794">
        <v>11.86</v>
      </c>
      <c r="C794" t="s">
        <v>1201</v>
      </c>
    </row>
    <row r="795" spans="1:3" x14ac:dyDescent="0.3">
      <c r="A795" s="426">
        <v>41169</v>
      </c>
      <c r="B795">
        <v>11.86</v>
      </c>
      <c r="C795" t="s">
        <v>1202</v>
      </c>
    </row>
    <row r="796" spans="1:3" x14ac:dyDescent="0.3">
      <c r="A796" s="426">
        <v>41170</v>
      </c>
      <c r="B796">
        <v>12.03</v>
      </c>
      <c r="C796" t="s">
        <v>1203</v>
      </c>
    </row>
    <row r="797" spans="1:3" x14ac:dyDescent="0.3">
      <c r="A797" s="426">
        <v>41171</v>
      </c>
      <c r="B797">
        <v>12.39</v>
      </c>
      <c r="C797" t="s">
        <v>1204</v>
      </c>
    </row>
    <row r="798" spans="1:3" x14ac:dyDescent="0.3">
      <c r="A798" s="426">
        <v>41172</v>
      </c>
      <c r="B798">
        <v>12.47</v>
      </c>
      <c r="C798" t="s">
        <v>1205</v>
      </c>
    </row>
    <row r="799" spans="1:3" x14ac:dyDescent="0.3">
      <c r="A799" s="426">
        <v>41173</v>
      </c>
      <c r="B799">
        <v>12.26</v>
      </c>
      <c r="C799" t="s">
        <v>1206</v>
      </c>
    </row>
    <row r="800" spans="1:3" x14ac:dyDescent="0.3">
      <c r="A800" s="426">
        <v>41174</v>
      </c>
      <c r="B800">
        <v>12.2</v>
      </c>
      <c r="C800" t="s">
        <v>1207</v>
      </c>
    </row>
    <row r="801" spans="1:3" x14ac:dyDescent="0.3">
      <c r="A801" s="426">
        <v>41175</v>
      </c>
      <c r="B801">
        <v>11.99</v>
      </c>
      <c r="C801" t="s">
        <v>1208</v>
      </c>
    </row>
    <row r="802" spans="1:3" x14ac:dyDescent="0.3">
      <c r="A802" s="426">
        <v>41176</v>
      </c>
      <c r="B802">
        <v>12.06</v>
      </c>
      <c r="C802" t="s">
        <v>1209</v>
      </c>
    </row>
    <row r="803" spans="1:3" x14ac:dyDescent="0.3">
      <c r="A803" s="426">
        <v>41177</v>
      </c>
      <c r="B803">
        <v>12.06</v>
      </c>
      <c r="C803" t="s">
        <v>1210</v>
      </c>
    </row>
    <row r="804" spans="1:3" x14ac:dyDescent="0.3">
      <c r="A804" s="426">
        <v>41178</v>
      </c>
      <c r="B804">
        <v>12.19</v>
      </c>
      <c r="C804" t="s">
        <v>1211</v>
      </c>
    </row>
    <row r="805" spans="1:3" x14ac:dyDescent="0.3">
      <c r="A805" s="426">
        <v>41179</v>
      </c>
      <c r="B805">
        <v>12.27</v>
      </c>
      <c r="C805" t="s">
        <v>1212</v>
      </c>
    </row>
    <row r="806" spans="1:3" x14ac:dyDescent="0.3">
      <c r="A806" s="426">
        <v>41180</v>
      </c>
      <c r="B806">
        <v>12.3</v>
      </c>
      <c r="C806" t="s">
        <v>1213</v>
      </c>
    </row>
    <row r="807" spans="1:3" x14ac:dyDescent="0.3">
      <c r="A807" s="426">
        <v>41181</v>
      </c>
      <c r="B807">
        <v>12.36</v>
      </c>
      <c r="C807" t="s">
        <v>1214</v>
      </c>
    </row>
    <row r="808" spans="1:3" x14ac:dyDescent="0.3">
      <c r="A808" s="426">
        <v>41182</v>
      </c>
      <c r="B808">
        <v>12.35</v>
      </c>
      <c r="C808" t="s">
        <v>1215</v>
      </c>
    </row>
    <row r="809" spans="1:3" x14ac:dyDescent="0.3">
      <c r="A809" s="426">
        <v>41183</v>
      </c>
      <c r="B809">
        <v>12.28</v>
      </c>
      <c r="C809" t="s">
        <v>1216</v>
      </c>
    </row>
    <row r="810" spans="1:3" x14ac:dyDescent="0.3">
      <c r="A810" s="426">
        <v>41184</v>
      </c>
      <c r="B810">
        <v>12.56</v>
      </c>
      <c r="C810" t="s">
        <v>1217</v>
      </c>
    </row>
    <row r="811" spans="1:3" x14ac:dyDescent="0.3">
      <c r="A811" s="426">
        <v>41185</v>
      </c>
      <c r="B811">
        <v>12.75</v>
      </c>
      <c r="C811" t="s">
        <v>1218</v>
      </c>
    </row>
    <row r="812" spans="1:3" x14ac:dyDescent="0.3">
      <c r="A812" s="426">
        <v>41186</v>
      </c>
      <c r="B812">
        <v>12.84</v>
      </c>
      <c r="C812" t="s">
        <v>1219</v>
      </c>
    </row>
    <row r="813" spans="1:3" x14ac:dyDescent="0.3">
      <c r="A813" s="426">
        <v>41187</v>
      </c>
      <c r="B813">
        <v>12.68</v>
      </c>
      <c r="C813" t="s">
        <v>1220</v>
      </c>
    </row>
    <row r="814" spans="1:3" x14ac:dyDescent="0.3">
      <c r="A814" s="426">
        <v>41188</v>
      </c>
      <c r="B814">
        <v>12.56</v>
      </c>
      <c r="C814" t="s">
        <v>1221</v>
      </c>
    </row>
    <row r="815" spans="1:3" x14ac:dyDescent="0.3">
      <c r="A815" s="426">
        <v>41189</v>
      </c>
      <c r="B815">
        <v>12.01</v>
      </c>
      <c r="C815" t="s">
        <v>1222</v>
      </c>
    </row>
    <row r="816" spans="1:3" x14ac:dyDescent="0.3">
      <c r="A816" s="426">
        <v>41190</v>
      </c>
      <c r="B816">
        <v>11.25</v>
      </c>
      <c r="C816" t="s">
        <v>1223</v>
      </c>
    </row>
    <row r="817" spans="1:3" x14ac:dyDescent="0.3">
      <c r="A817" s="426">
        <v>41191</v>
      </c>
      <c r="B817">
        <v>11.97</v>
      </c>
      <c r="C817" t="s">
        <v>1224</v>
      </c>
    </row>
    <row r="818" spans="1:3" x14ac:dyDescent="0.3">
      <c r="A818" s="426">
        <v>41192</v>
      </c>
      <c r="B818">
        <v>12.01</v>
      </c>
      <c r="C818" t="s">
        <v>1225</v>
      </c>
    </row>
    <row r="819" spans="1:3" x14ac:dyDescent="0.3">
      <c r="A819" s="426">
        <v>41193</v>
      </c>
      <c r="B819">
        <v>12</v>
      </c>
      <c r="C819" t="s">
        <v>1226</v>
      </c>
    </row>
    <row r="820" spans="1:3" x14ac:dyDescent="0.3">
      <c r="A820" s="426">
        <v>41194</v>
      </c>
      <c r="B820">
        <v>12.03</v>
      </c>
      <c r="C820" t="s">
        <v>1227</v>
      </c>
    </row>
    <row r="821" spans="1:3" x14ac:dyDescent="0.3">
      <c r="A821" s="426">
        <v>41195</v>
      </c>
      <c r="B821">
        <v>11.88</v>
      </c>
      <c r="C821" t="s">
        <v>1228</v>
      </c>
    </row>
    <row r="822" spans="1:3" x14ac:dyDescent="0.3">
      <c r="A822" s="426">
        <v>41196</v>
      </c>
      <c r="B822">
        <v>11.82</v>
      </c>
      <c r="C822" t="s">
        <v>1229</v>
      </c>
    </row>
    <row r="823" spans="1:3" x14ac:dyDescent="0.3">
      <c r="A823" s="426">
        <v>41197</v>
      </c>
      <c r="B823">
        <v>11.68</v>
      </c>
      <c r="C823" t="s">
        <v>1230</v>
      </c>
    </row>
    <row r="824" spans="1:3" x14ac:dyDescent="0.3">
      <c r="A824" s="426">
        <v>41198</v>
      </c>
      <c r="B824">
        <v>11.78</v>
      </c>
      <c r="C824" t="s">
        <v>1231</v>
      </c>
    </row>
    <row r="825" spans="1:3" x14ac:dyDescent="0.3">
      <c r="A825" s="426">
        <v>41199</v>
      </c>
      <c r="B825">
        <v>11.83</v>
      </c>
      <c r="C825" t="s">
        <v>1232</v>
      </c>
    </row>
    <row r="826" spans="1:3" x14ac:dyDescent="0.3">
      <c r="A826" s="426">
        <v>41200</v>
      </c>
      <c r="B826">
        <v>11.85</v>
      </c>
      <c r="C826" t="s">
        <v>1233</v>
      </c>
    </row>
    <row r="827" spans="1:3" x14ac:dyDescent="0.3">
      <c r="A827" s="426">
        <v>41201</v>
      </c>
      <c r="B827">
        <v>11.73</v>
      </c>
      <c r="C827" t="s">
        <v>1234</v>
      </c>
    </row>
    <row r="828" spans="1:3" x14ac:dyDescent="0.3">
      <c r="A828" s="426">
        <v>41202</v>
      </c>
      <c r="B828">
        <v>11.69</v>
      </c>
      <c r="C828" t="s">
        <v>1235</v>
      </c>
    </row>
    <row r="829" spans="1:3" x14ac:dyDescent="0.3">
      <c r="A829" s="426">
        <v>41203</v>
      </c>
      <c r="B829">
        <v>11.61</v>
      </c>
      <c r="C829" t="s">
        <v>1236</v>
      </c>
    </row>
    <row r="830" spans="1:3" x14ac:dyDescent="0.3">
      <c r="A830" s="426">
        <v>41204</v>
      </c>
      <c r="B830">
        <v>11.65</v>
      </c>
      <c r="C830" t="s">
        <v>1237</v>
      </c>
    </row>
    <row r="831" spans="1:3" x14ac:dyDescent="0.3">
      <c r="A831" s="426">
        <v>41205</v>
      </c>
      <c r="B831">
        <v>11.69</v>
      </c>
      <c r="C831" t="s">
        <v>1238</v>
      </c>
    </row>
    <row r="832" spans="1:3" x14ac:dyDescent="0.3">
      <c r="A832" s="426">
        <v>41206</v>
      </c>
      <c r="B832">
        <v>11.62</v>
      </c>
      <c r="C832" t="s">
        <v>1239</v>
      </c>
    </row>
    <row r="833" spans="1:3" x14ac:dyDescent="0.3">
      <c r="A833" s="426">
        <v>41207</v>
      </c>
      <c r="B833">
        <v>11.02</v>
      </c>
      <c r="C833" t="s">
        <v>1240</v>
      </c>
    </row>
    <row r="834" spans="1:3" x14ac:dyDescent="0.3">
      <c r="A834" s="426">
        <v>41208</v>
      </c>
      <c r="B834">
        <v>10.28</v>
      </c>
      <c r="C834" t="s">
        <v>1241</v>
      </c>
    </row>
    <row r="835" spans="1:3" x14ac:dyDescent="0.3">
      <c r="A835" s="426">
        <v>41209</v>
      </c>
      <c r="B835">
        <v>10.35</v>
      </c>
      <c r="C835" t="s">
        <v>1242</v>
      </c>
    </row>
    <row r="836" spans="1:3" x14ac:dyDescent="0.3">
      <c r="A836" s="426">
        <v>41210</v>
      </c>
      <c r="B836">
        <v>10.53</v>
      </c>
      <c r="C836" t="s">
        <v>1243</v>
      </c>
    </row>
    <row r="837" spans="1:3" x14ac:dyDescent="0.3">
      <c r="A837" s="426">
        <v>41211</v>
      </c>
      <c r="B837">
        <v>10.61</v>
      </c>
      <c r="C837" t="s">
        <v>1244</v>
      </c>
    </row>
    <row r="838" spans="1:3" x14ac:dyDescent="0.3">
      <c r="A838" s="426">
        <v>41212</v>
      </c>
      <c r="B838">
        <v>10.7</v>
      </c>
      <c r="C838" t="s">
        <v>1245</v>
      </c>
    </row>
    <row r="839" spans="1:3" x14ac:dyDescent="0.3">
      <c r="A839" s="426">
        <v>41213</v>
      </c>
      <c r="B839">
        <v>10.99</v>
      </c>
      <c r="C839" t="s">
        <v>1246</v>
      </c>
    </row>
    <row r="840" spans="1:3" x14ac:dyDescent="0.3">
      <c r="A840" s="426">
        <v>41214</v>
      </c>
      <c r="B840">
        <v>10.92</v>
      </c>
      <c r="C840" t="s">
        <v>1247</v>
      </c>
    </row>
    <row r="841" spans="1:3" x14ac:dyDescent="0.3">
      <c r="A841" s="426">
        <v>41215</v>
      </c>
      <c r="B841">
        <v>10.54</v>
      </c>
      <c r="C841" t="s">
        <v>1248</v>
      </c>
    </row>
    <row r="842" spans="1:3" x14ac:dyDescent="0.3">
      <c r="A842" s="426">
        <v>41216</v>
      </c>
      <c r="B842">
        <v>10.48</v>
      </c>
      <c r="C842" t="s">
        <v>1249</v>
      </c>
    </row>
    <row r="843" spans="1:3" x14ac:dyDescent="0.3">
      <c r="A843" s="426">
        <v>41217</v>
      </c>
      <c r="B843">
        <v>10.55</v>
      </c>
      <c r="C843" t="s">
        <v>1250</v>
      </c>
    </row>
    <row r="844" spans="1:3" x14ac:dyDescent="0.3">
      <c r="A844" s="426">
        <v>41218</v>
      </c>
      <c r="B844">
        <v>10.63</v>
      </c>
      <c r="C844" t="s">
        <v>1251</v>
      </c>
    </row>
    <row r="845" spans="1:3" x14ac:dyDescent="0.3">
      <c r="A845" s="426">
        <v>41219</v>
      </c>
      <c r="B845">
        <v>10.76</v>
      </c>
      <c r="C845" t="s">
        <v>1252</v>
      </c>
    </row>
    <row r="846" spans="1:3" x14ac:dyDescent="0.3">
      <c r="A846" s="426">
        <v>41220</v>
      </c>
      <c r="B846">
        <v>10.92</v>
      </c>
      <c r="C846" t="s">
        <v>1253</v>
      </c>
    </row>
    <row r="847" spans="1:3" x14ac:dyDescent="0.3">
      <c r="A847" s="426">
        <v>41221</v>
      </c>
      <c r="B847">
        <v>10.85</v>
      </c>
      <c r="C847" t="s">
        <v>1254</v>
      </c>
    </row>
    <row r="848" spans="1:3" x14ac:dyDescent="0.3">
      <c r="A848" s="426">
        <v>41222</v>
      </c>
      <c r="B848">
        <v>10.81</v>
      </c>
      <c r="C848" t="s">
        <v>1255</v>
      </c>
    </row>
    <row r="849" spans="1:3" x14ac:dyDescent="0.3">
      <c r="A849" s="426">
        <v>41223</v>
      </c>
      <c r="B849">
        <v>10.83</v>
      </c>
      <c r="C849" t="s">
        <v>1256</v>
      </c>
    </row>
    <row r="850" spans="1:3" x14ac:dyDescent="0.3">
      <c r="A850" s="426">
        <v>41224</v>
      </c>
      <c r="B850">
        <v>10.72</v>
      </c>
      <c r="C850" t="s">
        <v>1257</v>
      </c>
    </row>
    <row r="851" spans="1:3" x14ac:dyDescent="0.3">
      <c r="A851" s="426">
        <v>41225</v>
      </c>
      <c r="B851">
        <v>10.93</v>
      </c>
      <c r="C851" t="s">
        <v>1258</v>
      </c>
    </row>
    <row r="852" spans="1:3" x14ac:dyDescent="0.3">
      <c r="A852" s="426">
        <v>41226</v>
      </c>
      <c r="B852">
        <v>10.95</v>
      </c>
      <c r="C852" t="s">
        <v>1259</v>
      </c>
    </row>
    <row r="853" spans="1:3" x14ac:dyDescent="0.3">
      <c r="A853" s="426">
        <v>41227</v>
      </c>
      <c r="B853">
        <v>10.93</v>
      </c>
      <c r="C853" t="s">
        <v>1260</v>
      </c>
    </row>
    <row r="854" spans="1:3" x14ac:dyDescent="0.3">
      <c r="A854" s="426">
        <v>41228</v>
      </c>
      <c r="B854">
        <v>11.04</v>
      </c>
      <c r="C854" t="s">
        <v>1261</v>
      </c>
    </row>
    <row r="855" spans="1:3" x14ac:dyDescent="0.3">
      <c r="A855" s="426">
        <v>41229</v>
      </c>
      <c r="B855">
        <v>11.44</v>
      </c>
      <c r="C855" t="s">
        <v>1262</v>
      </c>
    </row>
    <row r="856" spans="1:3" x14ac:dyDescent="0.3">
      <c r="A856" s="426">
        <v>41230</v>
      </c>
      <c r="B856">
        <v>11.64</v>
      </c>
      <c r="C856" t="s">
        <v>1263</v>
      </c>
    </row>
    <row r="857" spans="1:3" x14ac:dyDescent="0.3">
      <c r="A857" s="426">
        <v>41231</v>
      </c>
      <c r="B857">
        <v>11.68</v>
      </c>
      <c r="C857" t="s">
        <v>1264</v>
      </c>
    </row>
    <row r="858" spans="1:3" x14ac:dyDescent="0.3">
      <c r="A858" s="426">
        <v>41232</v>
      </c>
      <c r="B858">
        <v>11.67</v>
      </c>
      <c r="C858" t="s">
        <v>1265</v>
      </c>
    </row>
    <row r="859" spans="1:3" x14ac:dyDescent="0.3">
      <c r="A859" s="426">
        <v>41233</v>
      </c>
      <c r="B859">
        <v>11.68</v>
      </c>
      <c r="C859" t="s">
        <v>1266</v>
      </c>
    </row>
    <row r="860" spans="1:3" x14ac:dyDescent="0.3">
      <c r="A860" s="426">
        <v>41234</v>
      </c>
      <c r="B860">
        <v>11.69</v>
      </c>
      <c r="C860" t="s">
        <v>1267</v>
      </c>
    </row>
    <row r="861" spans="1:3" x14ac:dyDescent="0.3">
      <c r="A861" s="426">
        <v>41235</v>
      </c>
      <c r="B861">
        <v>12.03</v>
      </c>
      <c r="C861" t="s">
        <v>1268</v>
      </c>
    </row>
    <row r="862" spans="1:3" x14ac:dyDescent="0.3">
      <c r="A862" s="426">
        <v>41236</v>
      </c>
      <c r="B862">
        <v>12.25</v>
      </c>
      <c r="C862" t="s">
        <v>1269</v>
      </c>
    </row>
    <row r="863" spans="1:3" x14ac:dyDescent="0.3">
      <c r="A863" s="426">
        <v>41237</v>
      </c>
      <c r="B863">
        <v>12.34</v>
      </c>
      <c r="C863" t="s">
        <v>1270</v>
      </c>
    </row>
    <row r="864" spans="1:3" x14ac:dyDescent="0.3">
      <c r="A864" s="426">
        <v>41238</v>
      </c>
      <c r="B864">
        <v>12.46</v>
      </c>
      <c r="C864" t="s">
        <v>1271</v>
      </c>
    </row>
    <row r="865" spans="1:3" x14ac:dyDescent="0.3">
      <c r="A865" s="426">
        <v>41239</v>
      </c>
      <c r="B865">
        <v>12.34</v>
      </c>
      <c r="C865" t="s">
        <v>1272</v>
      </c>
    </row>
    <row r="866" spans="1:3" x14ac:dyDescent="0.3">
      <c r="A866" s="426">
        <v>41240</v>
      </c>
      <c r="B866">
        <v>12.07</v>
      </c>
      <c r="C866" t="s">
        <v>1273</v>
      </c>
    </row>
    <row r="867" spans="1:3" x14ac:dyDescent="0.3">
      <c r="A867" s="426">
        <v>41241</v>
      </c>
      <c r="B867">
        <v>12.25</v>
      </c>
      <c r="C867" t="s">
        <v>1274</v>
      </c>
    </row>
    <row r="868" spans="1:3" x14ac:dyDescent="0.3">
      <c r="A868" s="426">
        <v>41242</v>
      </c>
      <c r="B868">
        <v>12.39</v>
      </c>
      <c r="C868" t="s">
        <v>1275</v>
      </c>
    </row>
    <row r="869" spans="1:3" x14ac:dyDescent="0.3">
      <c r="A869" s="426">
        <v>41243</v>
      </c>
      <c r="B869">
        <v>12.51</v>
      </c>
      <c r="C869" t="s">
        <v>1276</v>
      </c>
    </row>
    <row r="870" spans="1:3" x14ac:dyDescent="0.3">
      <c r="A870" s="426">
        <v>41244</v>
      </c>
      <c r="B870">
        <v>12.53</v>
      </c>
      <c r="C870" t="s">
        <v>1277</v>
      </c>
    </row>
    <row r="871" spans="1:3" x14ac:dyDescent="0.3">
      <c r="A871" s="426">
        <v>41245</v>
      </c>
      <c r="B871">
        <v>12.51</v>
      </c>
      <c r="C871" t="s">
        <v>1278</v>
      </c>
    </row>
    <row r="872" spans="1:3" x14ac:dyDescent="0.3">
      <c r="A872" s="426">
        <v>41246</v>
      </c>
      <c r="B872">
        <v>12.52</v>
      </c>
      <c r="C872" t="s">
        <v>1279</v>
      </c>
    </row>
    <row r="873" spans="1:3" x14ac:dyDescent="0.3">
      <c r="A873" s="426">
        <v>41247</v>
      </c>
      <c r="B873">
        <v>12.98</v>
      </c>
      <c r="C873" t="s">
        <v>1280</v>
      </c>
    </row>
    <row r="874" spans="1:3" x14ac:dyDescent="0.3">
      <c r="A874" s="426">
        <v>41248</v>
      </c>
      <c r="B874">
        <v>13.25</v>
      </c>
      <c r="C874" t="s">
        <v>1281</v>
      </c>
    </row>
    <row r="875" spans="1:3" x14ac:dyDescent="0.3">
      <c r="A875" s="426">
        <v>41249</v>
      </c>
      <c r="B875">
        <v>13.37</v>
      </c>
      <c r="C875" t="s">
        <v>1282</v>
      </c>
    </row>
    <row r="876" spans="1:3" x14ac:dyDescent="0.3">
      <c r="A876" s="426">
        <v>41250</v>
      </c>
      <c r="B876">
        <v>13.32</v>
      </c>
      <c r="C876" t="s">
        <v>1283</v>
      </c>
    </row>
    <row r="877" spans="1:3" x14ac:dyDescent="0.3">
      <c r="A877" s="426">
        <v>41251</v>
      </c>
      <c r="B877">
        <v>13.43</v>
      </c>
      <c r="C877" t="s">
        <v>1284</v>
      </c>
    </row>
    <row r="878" spans="1:3" x14ac:dyDescent="0.3">
      <c r="A878" s="426">
        <v>41252</v>
      </c>
      <c r="B878">
        <v>13.22</v>
      </c>
      <c r="C878" t="s">
        <v>1285</v>
      </c>
    </row>
    <row r="879" spans="1:3" x14ac:dyDescent="0.3">
      <c r="A879" s="426">
        <v>41253</v>
      </c>
      <c r="B879">
        <v>13.36</v>
      </c>
      <c r="C879" t="s">
        <v>1286</v>
      </c>
    </row>
    <row r="880" spans="1:3" x14ac:dyDescent="0.3">
      <c r="A880" s="426">
        <v>41254</v>
      </c>
      <c r="B880">
        <v>13.47</v>
      </c>
      <c r="C880" t="s">
        <v>1287</v>
      </c>
    </row>
    <row r="881" spans="1:3" x14ac:dyDescent="0.3">
      <c r="A881" s="426">
        <v>41255</v>
      </c>
      <c r="B881">
        <v>13.57</v>
      </c>
      <c r="C881" t="s">
        <v>1288</v>
      </c>
    </row>
    <row r="882" spans="1:3" x14ac:dyDescent="0.3">
      <c r="A882" s="426">
        <v>41256</v>
      </c>
      <c r="B882">
        <v>13.62</v>
      </c>
      <c r="C882" t="s">
        <v>1289</v>
      </c>
    </row>
    <row r="883" spans="1:3" x14ac:dyDescent="0.3">
      <c r="A883" s="426">
        <v>41257</v>
      </c>
      <c r="B883">
        <v>13.57</v>
      </c>
      <c r="C883" t="s">
        <v>1290</v>
      </c>
    </row>
    <row r="884" spans="1:3" x14ac:dyDescent="0.3">
      <c r="A884" s="426">
        <v>41258</v>
      </c>
      <c r="B884">
        <v>13.51</v>
      </c>
      <c r="C884" t="s">
        <v>1291</v>
      </c>
    </row>
    <row r="885" spans="1:3" x14ac:dyDescent="0.3">
      <c r="A885" s="426">
        <v>41259</v>
      </c>
      <c r="B885">
        <v>13.35</v>
      </c>
      <c r="C885" t="s">
        <v>1292</v>
      </c>
    </row>
    <row r="886" spans="1:3" x14ac:dyDescent="0.3">
      <c r="A886" s="426">
        <v>41260</v>
      </c>
      <c r="B886">
        <v>13.18</v>
      </c>
      <c r="C886" t="s">
        <v>1293</v>
      </c>
    </row>
    <row r="887" spans="1:3" x14ac:dyDescent="0.3">
      <c r="A887" s="426">
        <v>41261</v>
      </c>
      <c r="B887">
        <v>13.2</v>
      </c>
      <c r="C887" t="s">
        <v>1294</v>
      </c>
    </row>
    <row r="888" spans="1:3" x14ac:dyDescent="0.3">
      <c r="A888" s="426">
        <v>41262</v>
      </c>
      <c r="B888">
        <v>13.34</v>
      </c>
      <c r="C888" t="s">
        <v>1295</v>
      </c>
    </row>
    <row r="889" spans="1:3" x14ac:dyDescent="0.3">
      <c r="A889" s="426">
        <v>41263</v>
      </c>
      <c r="B889">
        <v>13.45</v>
      </c>
      <c r="C889" t="s">
        <v>1296</v>
      </c>
    </row>
    <row r="890" spans="1:3" x14ac:dyDescent="0.3">
      <c r="A890" s="426">
        <v>41264</v>
      </c>
      <c r="B890">
        <v>13.45</v>
      </c>
      <c r="C890" t="s">
        <v>1297</v>
      </c>
    </row>
    <row r="891" spans="1:3" x14ac:dyDescent="0.3">
      <c r="A891" s="426">
        <v>41265</v>
      </c>
      <c r="B891">
        <v>13.36</v>
      </c>
      <c r="C891" t="s">
        <v>1298</v>
      </c>
    </row>
    <row r="892" spans="1:3" x14ac:dyDescent="0.3">
      <c r="A892" s="426">
        <v>41266</v>
      </c>
      <c r="B892">
        <v>13.21</v>
      </c>
      <c r="C892" t="s">
        <v>1299</v>
      </c>
    </row>
    <row r="893" spans="1:3" x14ac:dyDescent="0.3">
      <c r="A893" s="426">
        <v>41267</v>
      </c>
      <c r="B893">
        <v>13.34</v>
      </c>
      <c r="C893" t="s">
        <v>1300</v>
      </c>
    </row>
    <row r="894" spans="1:3" x14ac:dyDescent="0.3">
      <c r="A894" s="426">
        <v>41268</v>
      </c>
      <c r="B894">
        <v>13.29</v>
      </c>
      <c r="C894" t="s">
        <v>1301</v>
      </c>
    </row>
    <row r="895" spans="1:3" x14ac:dyDescent="0.3">
      <c r="A895" s="426">
        <v>41269</v>
      </c>
      <c r="B895">
        <v>13.3</v>
      </c>
      <c r="C895" t="s">
        <v>1302</v>
      </c>
    </row>
    <row r="896" spans="1:3" x14ac:dyDescent="0.3">
      <c r="A896" s="426">
        <v>41270</v>
      </c>
      <c r="B896">
        <v>13.32</v>
      </c>
      <c r="C896" t="s">
        <v>1303</v>
      </c>
    </row>
    <row r="897" spans="1:3" x14ac:dyDescent="0.3">
      <c r="A897" s="426">
        <v>41271</v>
      </c>
      <c r="B897">
        <v>13.38</v>
      </c>
      <c r="C897" t="s">
        <v>1304</v>
      </c>
    </row>
    <row r="898" spans="1:3" x14ac:dyDescent="0.3">
      <c r="A898" s="426">
        <v>41272</v>
      </c>
      <c r="B898">
        <v>13.47</v>
      </c>
      <c r="C898" t="s">
        <v>1305</v>
      </c>
    </row>
    <row r="899" spans="1:3" x14ac:dyDescent="0.3">
      <c r="A899" s="426">
        <v>41273</v>
      </c>
      <c r="B899">
        <v>13.41</v>
      </c>
      <c r="C899" t="s">
        <v>1306</v>
      </c>
    </row>
    <row r="900" spans="1:3" x14ac:dyDescent="0.3">
      <c r="A900" s="426">
        <v>41274</v>
      </c>
      <c r="B900">
        <v>13.44</v>
      </c>
      <c r="C900" t="s">
        <v>1307</v>
      </c>
    </row>
    <row r="901" spans="1:3" x14ac:dyDescent="0.3">
      <c r="A901" s="426">
        <v>41275</v>
      </c>
      <c r="B901">
        <v>13.31</v>
      </c>
      <c r="C901" t="s">
        <v>1308</v>
      </c>
    </row>
    <row r="902" spans="1:3" x14ac:dyDescent="0.3">
      <c r="A902" s="426">
        <v>41276</v>
      </c>
      <c r="B902">
        <v>13.29</v>
      </c>
      <c r="C902" t="s">
        <v>1309</v>
      </c>
    </row>
    <row r="903" spans="1:3" x14ac:dyDescent="0.3">
      <c r="A903" s="426">
        <v>41277</v>
      </c>
      <c r="B903">
        <v>13.32</v>
      </c>
      <c r="C903" t="s">
        <v>1310</v>
      </c>
    </row>
    <row r="904" spans="1:3" x14ac:dyDescent="0.3">
      <c r="A904" s="426">
        <v>41278</v>
      </c>
      <c r="B904">
        <v>13.38</v>
      </c>
      <c r="C904" t="s">
        <v>1311</v>
      </c>
    </row>
    <row r="905" spans="1:3" x14ac:dyDescent="0.3">
      <c r="A905" s="426">
        <v>41279</v>
      </c>
      <c r="B905">
        <v>13.38</v>
      </c>
      <c r="C905" t="s">
        <v>1312</v>
      </c>
    </row>
    <row r="906" spans="1:3" x14ac:dyDescent="0.3">
      <c r="A906" s="426">
        <v>41280</v>
      </c>
      <c r="B906">
        <v>13.42</v>
      </c>
      <c r="C906" t="s">
        <v>1313</v>
      </c>
    </row>
    <row r="907" spans="1:3" x14ac:dyDescent="0.3">
      <c r="A907" s="426">
        <v>41281</v>
      </c>
      <c r="B907">
        <v>13.44</v>
      </c>
      <c r="C907" t="s">
        <v>1314</v>
      </c>
    </row>
    <row r="908" spans="1:3" x14ac:dyDescent="0.3">
      <c r="A908" s="426">
        <v>41282</v>
      </c>
      <c r="B908">
        <v>13.66</v>
      </c>
      <c r="C908" t="s">
        <v>1315</v>
      </c>
    </row>
    <row r="909" spans="1:3" x14ac:dyDescent="0.3">
      <c r="A909" s="426">
        <v>41283</v>
      </c>
      <c r="B909">
        <v>13.69</v>
      </c>
      <c r="C909" t="s">
        <v>1316</v>
      </c>
    </row>
    <row r="910" spans="1:3" x14ac:dyDescent="0.3">
      <c r="A910" s="426">
        <v>41284</v>
      </c>
      <c r="B910">
        <v>14.02</v>
      </c>
      <c r="C910" t="s">
        <v>1317</v>
      </c>
    </row>
    <row r="911" spans="1:3" x14ac:dyDescent="0.3">
      <c r="A911" s="426">
        <v>41285</v>
      </c>
      <c r="B911">
        <v>14.1</v>
      </c>
      <c r="C911" t="s">
        <v>1318</v>
      </c>
    </row>
    <row r="912" spans="1:3" x14ac:dyDescent="0.3">
      <c r="A912" s="426">
        <v>41286</v>
      </c>
      <c r="B912">
        <v>14.15</v>
      </c>
      <c r="C912" t="s">
        <v>1319</v>
      </c>
    </row>
    <row r="913" spans="1:3" x14ac:dyDescent="0.3">
      <c r="A913" s="426">
        <v>41287</v>
      </c>
      <c r="B913">
        <v>14.09</v>
      </c>
      <c r="C913" t="s">
        <v>1320</v>
      </c>
    </row>
    <row r="914" spans="1:3" x14ac:dyDescent="0.3">
      <c r="A914" s="426">
        <v>41288</v>
      </c>
      <c r="B914">
        <v>14.19</v>
      </c>
      <c r="C914" t="s">
        <v>1321</v>
      </c>
    </row>
    <row r="915" spans="1:3" x14ac:dyDescent="0.3">
      <c r="A915" s="426">
        <v>41289</v>
      </c>
      <c r="B915">
        <v>14.19</v>
      </c>
      <c r="C915" t="s">
        <v>1322</v>
      </c>
    </row>
    <row r="916" spans="1:3" x14ac:dyDescent="0.3">
      <c r="A916" s="426">
        <v>41290</v>
      </c>
      <c r="B916">
        <v>14.49</v>
      </c>
      <c r="C916" t="s">
        <v>1323</v>
      </c>
    </row>
    <row r="917" spans="1:3" x14ac:dyDescent="0.3">
      <c r="A917" s="426">
        <v>41291</v>
      </c>
      <c r="B917">
        <v>15.14</v>
      </c>
      <c r="C917" t="s">
        <v>1324</v>
      </c>
    </row>
    <row r="918" spans="1:3" x14ac:dyDescent="0.3">
      <c r="A918" s="426">
        <v>41292</v>
      </c>
      <c r="B918">
        <v>15.64</v>
      </c>
      <c r="C918" t="s">
        <v>1325</v>
      </c>
    </row>
    <row r="919" spans="1:3" x14ac:dyDescent="0.3">
      <c r="A919" s="426">
        <v>41293</v>
      </c>
      <c r="B919">
        <v>15.45</v>
      </c>
      <c r="C919" t="s">
        <v>1326</v>
      </c>
    </row>
    <row r="920" spans="1:3" x14ac:dyDescent="0.3">
      <c r="A920" s="426">
        <v>41294</v>
      </c>
      <c r="B920">
        <v>15.67</v>
      </c>
      <c r="C920" t="s">
        <v>1327</v>
      </c>
    </row>
    <row r="921" spans="1:3" x14ac:dyDescent="0.3">
      <c r="A921" s="426">
        <v>41295</v>
      </c>
      <c r="B921">
        <v>16.350000000000001</v>
      </c>
      <c r="C921" t="s">
        <v>1328</v>
      </c>
    </row>
    <row r="922" spans="1:3" x14ac:dyDescent="0.3">
      <c r="A922" s="426">
        <v>41296</v>
      </c>
      <c r="B922">
        <v>17.13</v>
      </c>
      <c r="C922" t="s">
        <v>1329</v>
      </c>
    </row>
    <row r="923" spans="1:3" x14ac:dyDescent="0.3">
      <c r="A923" s="426">
        <v>41297</v>
      </c>
      <c r="B923">
        <v>17.2</v>
      </c>
      <c r="C923" t="s">
        <v>1330</v>
      </c>
    </row>
    <row r="924" spans="1:3" x14ac:dyDescent="0.3">
      <c r="A924" s="426">
        <v>41298</v>
      </c>
      <c r="B924">
        <v>17.77</v>
      </c>
      <c r="C924" t="s">
        <v>1331</v>
      </c>
    </row>
    <row r="925" spans="1:3" x14ac:dyDescent="0.3">
      <c r="A925" s="426">
        <v>41299</v>
      </c>
      <c r="B925">
        <v>16.690000000000001</v>
      </c>
      <c r="C925" t="s">
        <v>1332</v>
      </c>
    </row>
    <row r="926" spans="1:3" x14ac:dyDescent="0.3">
      <c r="A926" s="426">
        <v>41300</v>
      </c>
      <c r="B926">
        <v>17.13</v>
      </c>
      <c r="C926" t="s">
        <v>1333</v>
      </c>
    </row>
    <row r="927" spans="1:3" x14ac:dyDescent="0.3">
      <c r="A927" s="426">
        <v>41301</v>
      </c>
      <c r="B927">
        <v>17.57</v>
      </c>
      <c r="C927" t="s">
        <v>1334</v>
      </c>
    </row>
    <row r="928" spans="1:3" x14ac:dyDescent="0.3">
      <c r="A928" s="426">
        <v>41302</v>
      </c>
      <c r="B928">
        <v>18.29</v>
      </c>
      <c r="C928" t="s">
        <v>1335</v>
      </c>
    </row>
    <row r="929" spans="1:3" x14ac:dyDescent="0.3">
      <c r="A929" s="426">
        <v>41303</v>
      </c>
      <c r="B929">
        <v>19.14</v>
      </c>
      <c r="C929" t="s">
        <v>1336</v>
      </c>
    </row>
    <row r="930" spans="1:3" x14ac:dyDescent="0.3">
      <c r="A930" s="426">
        <v>41304</v>
      </c>
      <c r="B930">
        <v>19.43</v>
      </c>
      <c r="C930" t="s">
        <v>1337</v>
      </c>
    </row>
    <row r="931" spans="1:3" x14ac:dyDescent="0.3">
      <c r="A931" s="426">
        <v>41305</v>
      </c>
      <c r="B931">
        <v>20.53</v>
      </c>
      <c r="C931" t="s">
        <v>1338</v>
      </c>
    </row>
    <row r="932" spans="1:3" x14ac:dyDescent="0.3">
      <c r="A932" s="426">
        <v>41306</v>
      </c>
      <c r="B932">
        <v>20.7</v>
      </c>
      <c r="C932" t="s">
        <v>1339</v>
      </c>
    </row>
    <row r="933" spans="1:3" x14ac:dyDescent="0.3">
      <c r="A933" s="426">
        <v>41307</v>
      </c>
      <c r="B933">
        <v>19.48</v>
      </c>
      <c r="C933" t="s">
        <v>1340</v>
      </c>
    </row>
    <row r="934" spans="1:3" x14ac:dyDescent="0.3">
      <c r="A934" s="426">
        <v>41308</v>
      </c>
      <c r="B934">
        <v>20.22</v>
      </c>
      <c r="C934" t="s">
        <v>1341</v>
      </c>
    </row>
    <row r="935" spans="1:3" x14ac:dyDescent="0.3">
      <c r="A935" s="426">
        <v>41309</v>
      </c>
      <c r="B935">
        <v>20.41</v>
      </c>
      <c r="C935" t="s">
        <v>1342</v>
      </c>
    </row>
    <row r="936" spans="1:3" x14ac:dyDescent="0.3">
      <c r="A936" s="426">
        <v>41310</v>
      </c>
      <c r="B936">
        <v>20.53</v>
      </c>
      <c r="C936" t="s">
        <v>1343</v>
      </c>
    </row>
    <row r="937" spans="1:3" x14ac:dyDescent="0.3">
      <c r="A937" s="426">
        <v>41311</v>
      </c>
      <c r="B937">
        <v>21.04</v>
      </c>
      <c r="C937" t="s">
        <v>1344</v>
      </c>
    </row>
    <row r="938" spans="1:3" x14ac:dyDescent="0.3">
      <c r="A938" s="426">
        <v>41312</v>
      </c>
      <c r="B938">
        <v>21.55</v>
      </c>
      <c r="C938" t="s">
        <v>1345</v>
      </c>
    </row>
    <row r="939" spans="1:3" x14ac:dyDescent="0.3">
      <c r="A939" s="426">
        <v>41313</v>
      </c>
      <c r="B939">
        <v>22.4</v>
      </c>
      <c r="C939" t="s">
        <v>1346</v>
      </c>
    </row>
    <row r="940" spans="1:3" x14ac:dyDescent="0.3">
      <c r="A940" s="426">
        <v>41314</v>
      </c>
      <c r="B940">
        <v>23.19</v>
      </c>
      <c r="C940" t="s">
        <v>1347</v>
      </c>
    </row>
    <row r="941" spans="1:3" x14ac:dyDescent="0.3">
      <c r="A941" s="426">
        <v>41315</v>
      </c>
      <c r="B941">
        <v>23.41</v>
      </c>
      <c r="C941" t="s">
        <v>1348</v>
      </c>
    </row>
    <row r="942" spans="1:3" x14ac:dyDescent="0.3">
      <c r="A942" s="426">
        <v>41316</v>
      </c>
      <c r="B942">
        <v>24.04</v>
      </c>
      <c r="C942" t="s">
        <v>1349</v>
      </c>
    </row>
    <row r="943" spans="1:3" x14ac:dyDescent="0.3">
      <c r="A943" s="426">
        <v>41317</v>
      </c>
      <c r="B943">
        <v>25.06</v>
      </c>
      <c r="C943" t="s">
        <v>1350</v>
      </c>
    </row>
    <row r="944" spans="1:3" x14ac:dyDescent="0.3">
      <c r="A944" s="426">
        <v>41318</v>
      </c>
      <c r="B944">
        <v>25.47</v>
      </c>
      <c r="C944" t="s">
        <v>1351</v>
      </c>
    </row>
    <row r="945" spans="1:3" x14ac:dyDescent="0.3">
      <c r="A945" s="426">
        <v>41319</v>
      </c>
      <c r="B945">
        <v>25.41</v>
      </c>
      <c r="C945" t="s">
        <v>1352</v>
      </c>
    </row>
    <row r="946" spans="1:3" x14ac:dyDescent="0.3">
      <c r="A946" s="426">
        <v>41320</v>
      </c>
      <c r="B946">
        <v>26.95</v>
      </c>
      <c r="C946" t="s">
        <v>1353</v>
      </c>
    </row>
    <row r="947" spans="1:3" x14ac:dyDescent="0.3">
      <c r="A947" s="426">
        <v>41321</v>
      </c>
      <c r="B947">
        <v>27.07</v>
      </c>
      <c r="C947" t="s">
        <v>1354</v>
      </c>
    </row>
    <row r="948" spans="1:3" x14ac:dyDescent="0.3">
      <c r="A948" s="426">
        <v>41322</v>
      </c>
      <c r="B948">
        <v>26.38</v>
      </c>
      <c r="C948" t="s">
        <v>1355</v>
      </c>
    </row>
    <row r="949" spans="1:3" x14ac:dyDescent="0.3">
      <c r="A949" s="426">
        <v>41323</v>
      </c>
      <c r="B949">
        <v>26.73</v>
      </c>
      <c r="C949" t="s">
        <v>1356</v>
      </c>
    </row>
    <row r="950" spans="1:3" x14ac:dyDescent="0.3">
      <c r="A950" s="426">
        <v>41324</v>
      </c>
      <c r="B950">
        <v>28.18</v>
      </c>
      <c r="C950" t="s">
        <v>1357</v>
      </c>
    </row>
    <row r="951" spans="1:3" x14ac:dyDescent="0.3">
      <c r="A951" s="426">
        <v>41325</v>
      </c>
      <c r="B951">
        <v>29.47</v>
      </c>
      <c r="C951" t="s">
        <v>1358</v>
      </c>
    </row>
    <row r="952" spans="1:3" x14ac:dyDescent="0.3">
      <c r="A952" s="426">
        <v>41326</v>
      </c>
      <c r="B952">
        <v>29.68</v>
      </c>
      <c r="C952" t="s">
        <v>1359</v>
      </c>
    </row>
    <row r="953" spans="1:3" x14ac:dyDescent="0.3">
      <c r="A953" s="426">
        <v>41327</v>
      </c>
      <c r="B953">
        <v>30.44</v>
      </c>
      <c r="C953" t="s">
        <v>1360</v>
      </c>
    </row>
    <row r="954" spans="1:3" x14ac:dyDescent="0.3">
      <c r="A954" s="426">
        <v>41328</v>
      </c>
      <c r="B954">
        <v>28.97</v>
      </c>
      <c r="C954" t="s">
        <v>1361</v>
      </c>
    </row>
    <row r="955" spans="1:3" x14ac:dyDescent="0.3">
      <c r="A955" s="426">
        <v>41329</v>
      </c>
      <c r="B955">
        <v>29.75</v>
      </c>
      <c r="C955" t="s">
        <v>1362</v>
      </c>
    </row>
    <row r="956" spans="1:3" x14ac:dyDescent="0.3">
      <c r="A956" s="426">
        <v>41330</v>
      </c>
      <c r="B956">
        <v>30.04</v>
      </c>
      <c r="C956" t="s">
        <v>1363</v>
      </c>
    </row>
    <row r="957" spans="1:3" x14ac:dyDescent="0.3">
      <c r="A957" s="426">
        <v>41331</v>
      </c>
      <c r="B957">
        <v>30.95</v>
      </c>
      <c r="C957" t="s">
        <v>1364</v>
      </c>
    </row>
    <row r="958" spans="1:3" x14ac:dyDescent="0.3">
      <c r="A958" s="426">
        <v>41332</v>
      </c>
      <c r="B958">
        <v>31.08</v>
      </c>
      <c r="C958" t="s">
        <v>1365</v>
      </c>
    </row>
    <row r="959" spans="1:3" x14ac:dyDescent="0.3">
      <c r="A959" s="426">
        <v>41333</v>
      </c>
      <c r="B959">
        <v>32.67</v>
      </c>
      <c r="C959" t="s">
        <v>1366</v>
      </c>
    </row>
    <row r="960" spans="1:3" x14ac:dyDescent="0.3">
      <c r="A960" s="426">
        <v>41334</v>
      </c>
      <c r="B960">
        <v>34.19</v>
      </c>
      <c r="C960" t="s">
        <v>1367</v>
      </c>
    </row>
    <row r="961" spans="1:3" x14ac:dyDescent="0.3">
      <c r="A961" s="426">
        <v>41335</v>
      </c>
      <c r="B961">
        <v>33.86</v>
      </c>
      <c r="C961" t="s">
        <v>1368</v>
      </c>
    </row>
    <row r="962" spans="1:3" x14ac:dyDescent="0.3">
      <c r="A962" s="426">
        <v>41336</v>
      </c>
      <c r="B962">
        <v>34.01</v>
      </c>
      <c r="C962" t="s">
        <v>1369</v>
      </c>
    </row>
    <row r="963" spans="1:3" x14ac:dyDescent="0.3">
      <c r="A963" s="426">
        <v>41337</v>
      </c>
      <c r="B963">
        <v>35.29</v>
      </c>
      <c r="C963" t="s">
        <v>1370</v>
      </c>
    </row>
    <row r="964" spans="1:3" x14ac:dyDescent="0.3">
      <c r="A964" s="426">
        <v>41338</v>
      </c>
      <c r="B964">
        <v>39.28</v>
      </c>
      <c r="C964" t="s">
        <v>1371</v>
      </c>
    </row>
    <row r="965" spans="1:3" x14ac:dyDescent="0.3">
      <c r="A965" s="426">
        <v>41339</v>
      </c>
      <c r="B965">
        <v>45.18</v>
      </c>
      <c r="C965" t="s">
        <v>1372</v>
      </c>
    </row>
    <row r="966" spans="1:3" x14ac:dyDescent="0.3">
      <c r="A966" s="426">
        <v>41340</v>
      </c>
      <c r="B966">
        <v>40.869999999999997</v>
      </c>
      <c r="C966" t="s">
        <v>1373</v>
      </c>
    </row>
    <row r="967" spans="1:3" x14ac:dyDescent="0.3">
      <c r="A967" s="426">
        <v>41341</v>
      </c>
      <c r="B967">
        <v>43.08</v>
      </c>
      <c r="C967" t="s">
        <v>1374</v>
      </c>
    </row>
    <row r="968" spans="1:3" x14ac:dyDescent="0.3">
      <c r="A968" s="426">
        <v>41342</v>
      </c>
      <c r="B968">
        <v>45.28</v>
      </c>
      <c r="C968" t="s">
        <v>1375</v>
      </c>
    </row>
    <row r="969" spans="1:3" x14ac:dyDescent="0.3">
      <c r="A969" s="426">
        <v>41343</v>
      </c>
      <c r="B969">
        <v>46.69</v>
      </c>
      <c r="C969" t="s">
        <v>1376</v>
      </c>
    </row>
    <row r="970" spans="1:3" x14ac:dyDescent="0.3">
      <c r="A970" s="426">
        <v>41344</v>
      </c>
      <c r="B970">
        <v>47.41</v>
      </c>
      <c r="C970" t="s">
        <v>1377</v>
      </c>
    </row>
    <row r="971" spans="1:3" x14ac:dyDescent="0.3">
      <c r="A971" s="426">
        <v>41345</v>
      </c>
      <c r="B971">
        <v>43.65</v>
      </c>
      <c r="C971" t="s">
        <v>1378</v>
      </c>
    </row>
    <row r="972" spans="1:3" x14ac:dyDescent="0.3">
      <c r="A972" s="426">
        <v>41346</v>
      </c>
      <c r="B972">
        <v>46.16</v>
      </c>
      <c r="C972" t="s">
        <v>1379</v>
      </c>
    </row>
    <row r="973" spans="1:3" x14ac:dyDescent="0.3">
      <c r="A973" s="426">
        <v>41347</v>
      </c>
      <c r="B973">
        <v>47.08</v>
      </c>
      <c r="C973" t="s">
        <v>1380</v>
      </c>
    </row>
    <row r="974" spans="1:3" x14ac:dyDescent="0.3">
      <c r="A974" s="426">
        <v>41348</v>
      </c>
      <c r="B974">
        <v>46.68</v>
      </c>
      <c r="C974" t="s">
        <v>1381</v>
      </c>
    </row>
    <row r="975" spans="1:3" x14ac:dyDescent="0.3">
      <c r="A975" s="426">
        <v>41349</v>
      </c>
      <c r="B975">
        <v>46.52</v>
      </c>
      <c r="C975" t="s">
        <v>1382</v>
      </c>
    </row>
    <row r="976" spans="1:3" x14ac:dyDescent="0.3">
      <c r="A976" s="426">
        <v>41350</v>
      </c>
      <c r="B976">
        <v>46.85</v>
      </c>
      <c r="C976" t="s">
        <v>1383</v>
      </c>
    </row>
    <row r="977" spans="1:3" x14ac:dyDescent="0.3">
      <c r="A977" s="426">
        <v>41351</v>
      </c>
      <c r="B977">
        <v>48.63</v>
      </c>
      <c r="C977" t="s">
        <v>1384</v>
      </c>
    </row>
    <row r="978" spans="1:3" x14ac:dyDescent="0.3">
      <c r="A978" s="426">
        <v>41352</v>
      </c>
      <c r="B978">
        <v>55.13</v>
      </c>
      <c r="C978" t="s">
        <v>1385</v>
      </c>
    </row>
    <row r="979" spans="1:3" x14ac:dyDescent="0.3">
      <c r="A979" s="426">
        <v>41353</v>
      </c>
      <c r="B979">
        <v>61.85</v>
      </c>
      <c r="C979" t="s">
        <v>1386</v>
      </c>
    </row>
    <row r="980" spans="1:3" x14ac:dyDescent="0.3">
      <c r="A980" s="426">
        <v>41354</v>
      </c>
      <c r="B980">
        <v>68.89</v>
      </c>
      <c r="C980" t="s">
        <v>1387</v>
      </c>
    </row>
    <row r="981" spans="1:3" x14ac:dyDescent="0.3">
      <c r="A981" s="426">
        <v>41355</v>
      </c>
      <c r="B981">
        <v>70.45</v>
      </c>
      <c r="C981" t="s">
        <v>1388</v>
      </c>
    </row>
    <row r="982" spans="1:3" x14ac:dyDescent="0.3">
      <c r="A982" s="426">
        <v>41356</v>
      </c>
      <c r="B982">
        <v>62.5</v>
      </c>
      <c r="C982" t="s">
        <v>1389</v>
      </c>
    </row>
    <row r="983" spans="1:3" x14ac:dyDescent="0.3">
      <c r="A983" s="426">
        <v>41357</v>
      </c>
      <c r="B983">
        <v>68.62</v>
      </c>
      <c r="C983" t="s">
        <v>1390</v>
      </c>
    </row>
    <row r="984" spans="1:3" x14ac:dyDescent="0.3">
      <c r="A984" s="426">
        <v>41358</v>
      </c>
      <c r="B984">
        <v>74.02</v>
      </c>
      <c r="C984" t="s">
        <v>1391</v>
      </c>
    </row>
    <row r="985" spans="1:3" x14ac:dyDescent="0.3">
      <c r="A985" s="426">
        <v>41359</v>
      </c>
      <c r="B985">
        <v>77.23</v>
      </c>
      <c r="C985" t="s">
        <v>1392</v>
      </c>
    </row>
    <row r="986" spans="1:3" x14ac:dyDescent="0.3">
      <c r="A986" s="426">
        <v>41360</v>
      </c>
      <c r="B986">
        <v>84.86</v>
      </c>
      <c r="C986" t="s">
        <v>1393</v>
      </c>
    </row>
    <row r="987" spans="1:3" x14ac:dyDescent="0.3">
      <c r="A987" s="426">
        <v>41361</v>
      </c>
      <c r="B987">
        <v>87.49</v>
      </c>
      <c r="C987" t="s">
        <v>1394</v>
      </c>
    </row>
    <row r="988" spans="1:3" x14ac:dyDescent="0.3">
      <c r="A988" s="426">
        <v>41362</v>
      </c>
      <c r="B988">
        <v>88.81</v>
      </c>
      <c r="C988" t="s">
        <v>1395</v>
      </c>
    </row>
    <row r="989" spans="1:3" x14ac:dyDescent="0.3">
      <c r="A989" s="426">
        <v>41363</v>
      </c>
      <c r="B989">
        <v>91.55</v>
      </c>
      <c r="C989" t="s">
        <v>1396</v>
      </c>
    </row>
    <row r="990" spans="1:3" x14ac:dyDescent="0.3">
      <c r="A990" s="426">
        <v>41364</v>
      </c>
      <c r="B990">
        <v>92.59</v>
      </c>
      <c r="C990" t="s">
        <v>1397</v>
      </c>
    </row>
    <row r="991" spans="1:3" x14ac:dyDescent="0.3">
      <c r="A991" s="426">
        <v>41365</v>
      </c>
      <c r="B991">
        <v>99.53</v>
      </c>
      <c r="C991" t="s">
        <v>1398</v>
      </c>
    </row>
    <row r="992" spans="1:3" x14ac:dyDescent="0.3">
      <c r="A992" s="426">
        <v>41366</v>
      </c>
      <c r="B992">
        <v>107.26</v>
      </c>
      <c r="C992" t="s">
        <v>1399</v>
      </c>
    </row>
    <row r="993" spans="1:3" x14ac:dyDescent="0.3">
      <c r="A993" s="426">
        <v>41367</v>
      </c>
      <c r="B993">
        <v>127.86</v>
      </c>
      <c r="C993" t="s">
        <v>1400</v>
      </c>
    </row>
    <row r="994" spans="1:3" x14ac:dyDescent="0.3">
      <c r="A994" s="426">
        <v>41368</v>
      </c>
      <c r="B994">
        <v>131.07</v>
      </c>
      <c r="C994" t="s">
        <v>1401</v>
      </c>
    </row>
    <row r="995" spans="1:3" x14ac:dyDescent="0.3">
      <c r="A995" s="426">
        <v>41369</v>
      </c>
      <c r="B995">
        <v>138.43</v>
      </c>
      <c r="C995" t="s">
        <v>1402</v>
      </c>
    </row>
    <row r="996" spans="1:3" x14ac:dyDescent="0.3">
      <c r="A996" s="426">
        <v>41370</v>
      </c>
      <c r="B996">
        <v>140.63999999999999</v>
      </c>
      <c r="C996" t="s">
        <v>1403</v>
      </c>
    </row>
    <row r="997" spans="1:3" x14ac:dyDescent="0.3">
      <c r="A997" s="426">
        <v>41371</v>
      </c>
      <c r="B997">
        <v>152.79</v>
      </c>
      <c r="C997" t="s">
        <v>1404</v>
      </c>
    </row>
    <row r="998" spans="1:3" x14ac:dyDescent="0.3">
      <c r="A998" s="426">
        <v>41372</v>
      </c>
      <c r="B998">
        <v>180.39</v>
      </c>
      <c r="C998" t="s">
        <v>1405</v>
      </c>
    </row>
    <row r="999" spans="1:3" x14ac:dyDescent="0.3">
      <c r="A999" s="426">
        <v>41373</v>
      </c>
      <c r="B999">
        <v>213.72</v>
      </c>
      <c r="C999" t="s">
        <v>1406</v>
      </c>
    </row>
    <row r="1000" spans="1:3" x14ac:dyDescent="0.3">
      <c r="A1000" s="426">
        <v>41374</v>
      </c>
      <c r="B1000">
        <v>181.66</v>
      </c>
      <c r="C1000" t="s">
        <v>1407</v>
      </c>
    </row>
    <row r="1001" spans="1:3" x14ac:dyDescent="0.3">
      <c r="A1001" s="426">
        <v>41375</v>
      </c>
      <c r="B1001">
        <v>131.94999999999999</v>
      </c>
      <c r="C1001" t="s">
        <v>1408</v>
      </c>
    </row>
    <row r="1002" spans="1:3" x14ac:dyDescent="0.3">
      <c r="A1002" s="426">
        <v>41376</v>
      </c>
      <c r="B1002">
        <v>84.59</v>
      </c>
      <c r="C1002" t="s">
        <v>1409</v>
      </c>
    </row>
    <row r="1003" spans="1:3" x14ac:dyDescent="0.3">
      <c r="A1003" s="426">
        <v>41377</v>
      </c>
      <c r="B1003">
        <v>108.55</v>
      </c>
      <c r="C1003" t="s">
        <v>1410</v>
      </c>
    </row>
    <row r="1004" spans="1:3" x14ac:dyDescent="0.3">
      <c r="A1004" s="426">
        <v>41378</v>
      </c>
      <c r="B1004">
        <v>97.19</v>
      </c>
      <c r="C1004" t="s">
        <v>1411</v>
      </c>
    </row>
    <row r="1005" spans="1:3" x14ac:dyDescent="0.3">
      <c r="A1005" s="426">
        <v>41379</v>
      </c>
      <c r="B1005">
        <v>86.91</v>
      </c>
      <c r="C1005" t="s">
        <v>1412</v>
      </c>
    </row>
    <row r="1006" spans="1:3" x14ac:dyDescent="0.3">
      <c r="A1006" s="426">
        <v>41380</v>
      </c>
      <c r="B1006">
        <v>65.39</v>
      </c>
      <c r="C1006" t="s">
        <v>1413</v>
      </c>
    </row>
    <row r="1007" spans="1:3" x14ac:dyDescent="0.3">
      <c r="A1007" s="426">
        <v>41381</v>
      </c>
      <c r="B1007">
        <v>84.85</v>
      </c>
      <c r="C1007" t="s">
        <v>1414</v>
      </c>
    </row>
    <row r="1008" spans="1:3" x14ac:dyDescent="0.3">
      <c r="A1008" s="426">
        <v>41382</v>
      </c>
      <c r="B1008">
        <v>96.78</v>
      </c>
      <c r="C1008" t="s">
        <v>1415</v>
      </c>
    </row>
    <row r="1009" spans="1:3" x14ac:dyDescent="0.3">
      <c r="A1009" s="426">
        <v>41383</v>
      </c>
      <c r="B1009">
        <v>118.46</v>
      </c>
      <c r="C1009" t="s">
        <v>1416</v>
      </c>
    </row>
    <row r="1010" spans="1:3" x14ac:dyDescent="0.3">
      <c r="A1010" s="426">
        <v>41384</v>
      </c>
      <c r="B1010">
        <v>122.9</v>
      </c>
      <c r="C1010" t="s">
        <v>1417</v>
      </c>
    </row>
    <row r="1011" spans="1:3" x14ac:dyDescent="0.3">
      <c r="A1011" s="426">
        <v>41385</v>
      </c>
      <c r="B1011">
        <v>119.29</v>
      </c>
      <c r="C1011" t="s">
        <v>1418</v>
      </c>
    </row>
    <row r="1012" spans="1:3" x14ac:dyDescent="0.3">
      <c r="A1012" s="426">
        <v>41386</v>
      </c>
      <c r="B1012">
        <v>121.95</v>
      </c>
      <c r="C1012" t="s">
        <v>1419</v>
      </c>
    </row>
    <row r="1013" spans="1:3" x14ac:dyDescent="0.3">
      <c r="A1013" s="426">
        <v>41387</v>
      </c>
      <c r="B1013">
        <v>132.85</v>
      </c>
      <c r="C1013" t="s">
        <v>1420</v>
      </c>
    </row>
    <row r="1014" spans="1:3" x14ac:dyDescent="0.3">
      <c r="A1014" s="426">
        <v>41388</v>
      </c>
      <c r="B1014">
        <v>150.41</v>
      </c>
      <c r="C1014" t="s">
        <v>1421</v>
      </c>
    </row>
    <row r="1015" spans="1:3" x14ac:dyDescent="0.3">
      <c r="A1015" s="426">
        <v>41389</v>
      </c>
      <c r="B1015">
        <v>142.61000000000001</v>
      </c>
      <c r="C1015" t="s">
        <v>1422</v>
      </c>
    </row>
    <row r="1016" spans="1:3" x14ac:dyDescent="0.3">
      <c r="A1016" s="426">
        <v>41390</v>
      </c>
      <c r="B1016">
        <v>131.75</v>
      </c>
      <c r="C1016" t="s">
        <v>1423</v>
      </c>
    </row>
    <row r="1017" spans="1:3" x14ac:dyDescent="0.3">
      <c r="A1017" s="426">
        <v>41391</v>
      </c>
      <c r="B1017">
        <v>130.5</v>
      </c>
      <c r="C1017" t="s">
        <v>1424</v>
      </c>
    </row>
    <row r="1018" spans="1:3" x14ac:dyDescent="0.3">
      <c r="A1018" s="426">
        <v>41392</v>
      </c>
      <c r="B1018">
        <v>132.30000000000001</v>
      </c>
      <c r="C1018" t="s">
        <v>1425</v>
      </c>
    </row>
    <row r="1019" spans="1:3" x14ac:dyDescent="0.3">
      <c r="A1019" s="426">
        <v>41393</v>
      </c>
      <c r="B1019">
        <v>141.03</v>
      </c>
      <c r="C1019" t="s">
        <v>1426</v>
      </c>
    </row>
    <row r="1020" spans="1:3" x14ac:dyDescent="0.3">
      <c r="A1020" s="426">
        <v>41394</v>
      </c>
      <c r="B1020">
        <v>138.97999999999999</v>
      </c>
      <c r="C1020" t="s">
        <v>1427</v>
      </c>
    </row>
    <row r="1021" spans="1:3" x14ac:dyDescent="0.3">
      <c r="A1021" s="426">
        <v>41395</v>
      </c>
      <c r="B1021">
        <v>120.87</v>
      </c>
      <c r="C1021" t="s">
        <v>1428</v>
      </c>
    </row>
    <row r="1022" spans="1:3" x14ac:dyDescent="0.3">
      <c r="A1022" s="426">
        <v>41396</v>
      </c>
      <c r="B1022">
        <v>106.65</v>
      </c>
      <c r="C1022" t="s">
        <v>1429</v>
      </c>
    </row>
    <row r="1023" spans="1:3" x14ac:dyDescent="0.3">
      <c r="A1023" s="426">
        <v>41397</v>
      </c>
      <c r="B1023">
        <v>91.35</v>
      </c>
      <c r="C1023" t="s">
        <v>1430</v>
      </c>
    </row>
    <row r="1024" spans="1:3" x14ac:dyDescent="0.3">
      <c r="A1024" s="426">
        <v>41398</v>
      </c>
      <c r="B1024">
        <v>106.64</v>
      </c>
      <c r="C1024" t="s">
        <v>1431</v>
      </c>
    </row>
    <row r="1025" spans="1:3" x14ac:dyDescent="0.3">
      <c r="A1025" s="426">
        <v>41399</v>
      </c>
      <c r="B1025">
        <v>113.48</v>
      </c>
      <c r="C1025" t="s">
        <v>1432</v>
      </c>
    </row>
    <row r="1026" spans="1:3" x14ac:dyDescent="0.3">
      <c r="A1026" s="426">
        <v>41400</v>
      </c>
      <c r="B1026">
        <v>117.03</v>
      </c>
      <c r="C1026" t="s">
        <v>1433</v>
      </c>
    </row>
    <row r="1027" spans="1:3" x14ac:dyDescent="0.3">
      <c r="A1027" s="426">
        <v>41401</v>
      </c>
      <c r="B1027">
        <v>106.63</v>
      </c>
      <c r="C1027" t="s">
        <v>1434</v>
      </c>
    </row>
    <row r="1028" spans="1:3" x14ac:dyDescent="0.3">
      <c r="A1028" s="426">
        <v>41402</v>
      </c>
      <c r="B1028">
        <v>112.94</v>
      </c>
      <c r="C1028" t="s">
        <v>1435</v>
      </c>
    </row>
    <row r="1029" spans="1:3" x14ac:dyDescent="0.3">
      <c r="A1029" s="426">
        <v>41403</v>
      </c>
      <c r="B1029">
        <v>111.15</v>
      </c>
      <c r="C1029" t="s">
        <v>1436</v>
      </c>
    </row>
    <row r="1030" spans="1:3" x14ac:dyDescent="0.3">
      <c r="A1030" s="426">
        <v>41404</v>
      </c>
      <c r="B1030">
        <v>117.3</v>
      </c>
      <c r="C1030" t="s">
        <v>1437</v>
      </c>
    </row>
    <row r="1031" spans="1:3" x14ac:dyDescent="0.3">
      <c r="A1031" s="426">
        <v>41405</v>
      </c>
      <c r="B1031">
        <v>115.24</v>
      </c>
      <c r="C1031" t="s">
        <v>1438</v>
      </c>
    </row>
    <row r="1032" spans="1:3" x14ac:dyDescent="0.3">
      <c r="A1032" s="426">
        <v>41406</v>
      </c>
      <c r="B1032">
        <v>114.25</v>
      </c>
      <c r="C1032" t="s">
        <v>1439</v>
      </c>
    </row>
    <row r="1033" spans="1:3" x14ac:dyDescent="0.3">
      <c r="A1033" s="426">
        <v>41407</v>
      </c>
      <c r="B1033">
        <v>116.34</v>
      </c>
      <c r="C1033" t="s">
        <v>1440</v>
      </c>
    </row>
    <row r="1034" spans="1:3" x14ac:dyDescent="0.3">
      <c r="A1034" s="426">
        <v>41408</v>
      </c>
      <c r="B1034">
        <v>114.33</v>
      </c>
      <c r="C1034" t="s">
        <v>1441</v>
      </c>
    </row>
    <row r="1035" spans="1:3" x14ac:dyDescent="0.3">
      <c r="A1035" s="426">
        <v>41409</v>
      </c>
      <c r="B1035">
        <v>109.6</v>
      </c>
      <c r="C1035" t="s">
        <v>1442</v>
      </c>
    </row>
    <row r="1036" spans="1:3" x14ac:dyDescent="0.3">
      <c r="A1036" s="426">
        <v>41410</v>
      </c>
      <c r="B1036">
        <v>114.23</v>
      </c>
      <c r="C1036" t="s">
        <v>1443</v>
      </c>
    </row>
    <row r="1037" spans="1:3" x14ac:dyDescent="0.3">
      <c r="A1037" s="426">
        <v>41411</v>
      </c>
      <c r="B1037">
        <v>119.9</v>
      </c>
      <c r="C1037" t="s">
        <v>1444</v>
      </c>
    </row>
    <row r="1038" spans="1:3" x14ac:dyDescent="0.3">
      <c r="A1038" s="426">
        <v>41412</v>
      </c>
      <c r="B1038">
        <v>121.96</v>
      </c>
      <c r="C1038" t="s">
        <v>1445</v>
      </c>
    </row>
    <row r="1039" spans="1:3" x14ac:dyDescent="0.3">
      <c r="A1039" s="426">
        <v>41413</v>
      </c>
      <c r="B1039">
        <v>120.08</v>
      </c>
      <c r="C1039" t="s">
        <v>1446</v>
      </c>
    </row>
    <row r="1040" spans="1:3" x14ac:dyDescent="0.3">
      <c r="A1040" s="426">
        <v>41414</v>
      </c>
      <c r="B1040">
        <v>120.47</v>
      </c>
      <c r="C1040" t="s">
        <v>1447</v>
      </c>
    </row>
    <row r="1041" spans="1:3" x14ac:dyDescent="0.3">
      <c r="A1041" s="426">
        <v>41415</v>
      </c>
      <c r="B1041">
        <v>120.06</v>
      </c>
      <c r="C1041" t="s">
        <v>1448</v>
      </c>
    </row>
    <row r="1042" spans="1:3" x14ac:dyDescent="0.3">
      <c r="A1042" s="426">
        <v>41416</v>
      </c>
      <c r="B1042">
        <v>120.96</v>
      </c>
      <c r="C1042" t="s">
        <v>1449</v>
      </c>
    </row>
    <row r="1043" spans="1:3" x14ac:dyDescent="0.3">
      <c r="A1043" s="426">
        <v>41417</v>
      </c>
      <c r="B1043">
        <v>123.55</v>
      </c>
      <c r="C1043" t="s">
        <v>1450</v>
      </c>
    </row>
    <row r="1044" spans="1:3" x14ac:dyDescent="0.3">
      <c r="A1044" s="426">
        <v>41418</v>
      </c>
      <c r="B1044">
        <v>128.80000000000001</v>
      </c>
      <c r="C1044" t="s">
        <v>1451</v>
      </c>
    </row>
    <row r="1045" spans="1:3" x14ac:dyDescent="0.3">
      <c r="A1045" s="426">
        <v>41419</v>
      </c>
      <c r="B1045">
        <v>129.9</v>
      </c>
      <c r="C1045" t="s">
        <v>1452</v>
      </c>
    </row>
    <row r="1046" spans="1:3" x14ac:dyDescent="0.3">
      <c r="A1046" s="426">
        <v>41420</v>
      </c>
      <c r="B1046">
        <v>132.96</v>
      </c>
      <c r="C1046" t="s">
        <v>1453</v>
      </c>
    </row>
    <row r="1047" spans="1:3" x14ac:dyDescent="0.3">
      <c r="A1047" s="426">
        <v>41421</v>
      </c>
      <c r="B1047">
        <v>128.94</v>
      </c>
      <c r="C1047" t="s">
        <v>1454</v>
      </c>
    </row>
    <row r="1048" spans="1:3" x14ac:dyDescent="0.3">
      <c r="A1048" s="426">
        <v>41422</v>
      </c>
      <c r="B1048">
        <v>127.18</v>
      </c>
      <c r="C1048" t="s">
        <v>1455</v>
      </c>
    </row>
    <row r="1049" spans="1:3" x14ac:dyDescent="0.3">
      <c r="A1049" s="426">
        <v>41423</v>
      </c>
      <c r="B1049">
        <v>129.37</v>
      </c>
      <c r="C1049" t="s">
        <v>1456</v>
      </c>
    </row>
    <row r="1050" spans="1:3" x14ac:dyDescent="0.3">
      <c r="A1050" s="426">
        <v>41424</v>
      </c>
      <c r="B1050">
        <v>129.11000000000001</v>
      </c>
      <c r="C1050" t="s">
        <v>1457</v>
      </c>
    </row>
    <row r="1051" spans="1:3" x14ac:dyDescent="0.3">
      <c r="A1051" s="426">
        <v>41425</v>
      </c>
      <c r="B1051">
        <v>127.95</v>
      </c>
      <c r="C1051" t="s">
        <v>1458</v>
      </c>
    </row>
    <row r="1052" spans="1:3" x14ac:dyDescent="0.3">
      <c r="A1052" s="426">
        <v>41426</v>
      </c>
      <c r="B1052">
        <v>128.1</v>
      </c>
      <c r="C1052" t="s">
        <v>1459</v>
      </c>
    </row>
    <row r="1053" spans="1:3" x14ac:dyDescent="0.3">
      <c r="A1053" s="426">
        <v>41427</v>
      </c>
      <c r="B1053">
        <v>121.94</v>
      </c>
      <c r="C1053" t="s">
        <v>1460</v>
      </c>
    </row>
    <row r="1054" spans="1:3" x14ac:dyDescent="0.3">
      <c r="A1054" s="426">
        <v>41428</v>
      </c>
      <c r="B1054">
        <v>119.12</v>
      </c>
      <c r="C1054" t="s">
        <v>1461</v>
      </c>
    </row>
    <row r="1055" spans="1:3" x14ac:dyDescent="0.3">
      <c r="A1055" s="426">
        <v>41429</v>
      </c>
      <c r="B1055">
        <v>120.9</v>
      </c>
      <c r="C1055" t="s">
        <v>1462</v>
      </c>
    </row>
    <row r="1056" spans="1:3" x14ac:dyDescent="0.3">
      <c r="A1056" s="426">
        <v>41430</v>
      </c>
      <c r="B1056">
        <v>121.11</v>
      </c>
      <c r="C1056" t="s">
        <v>1463</v>
      </c>
    </row>
    <row r="1057" spans="1:3" x14ac:dyDescent="0.3">
      <c r="A1057" s="426">
        <v>41431</v>
      </c>
      <c r="B1057">
        <v>119.73</v>
      </c>
      <c r="C1057" t="s">
        <v>1464</v>
      </c>
    </row>
    <row r="1058" spans="1:3" x14ac:dyDescent="0.3">
      <c r="A1058" s="426">
        <v>41432</v>
      </c>
      <c r="B1058">
        <v>112.35</v>
      </c>
      <c r="C1058" t="s">
        <v>1465</v>
      </c>
    </row>
    <row r="1059" spans="1:3" x14ac:dyDescent="0.3">
      <c r="A1059" s="426">
        <v>41433</v>
      </c>
      <c r="B1059">
        <v>109.07</v>
      </c>
      <c r="C1059" t="s">
        <v>1466</v>
      </c>
    </row>
    <row r="1060" spans="1:3" x14ac:dyDescent="0.3">
      <c r="A1060" s="426">
        <v>41434</v>
      </c>
      <c r="B1060">
        <v>98</v>
      </c>
      <c r="C1060" t="s">
        <v>1467</v>
      </c>
    </row>
    <row r="1061" spans="1:3" x14ac:dyDescent="0.3">
      <c r="A1061" s="426">
        <v>41435</v>
      </c>
      <c r="B1061">
        <v>104.68</v>
      </c>
      <c r="C1061" t="s">
        <v>1468</v>
      </c>
    </row>
    <row r="1062" spans="1:3" x14ac:dyDescent="0.3">
      <c r="A1062" s="426">
        <v>41436</v>
      </c>
      <c r="B1062">
        <v>106.83</v>
      </c>
      <c r="C1062" t="s">
        <v>1469</v>
      </c>
    </row>
    <row r="1063" spans="1:3" x14ac:dyDescent="0.3">
      <c r="A1063" s="426">
        <v>41437</v>
      </c>
      <c r="B1063">
        <v>108.85</v>
      </c>
      <c r="C1063" t="s">
        <v>1470</v>
      </c>
    </row>
    <row r="1064" spans="1:3" x14ac:dyDescent="0.3">
      <c r="A1064" s="426">
        <v>41438</v>
      </c>
      <c r="B1064">
        <v>105.08</v>
      </c>
      <c r="C1064" t="s">
        <v>1471</v>
      </c>
    </row>
    <row r="1065" spans="1:3" x14ac:dyDescent="0.3">
      <c r="A1065" s="426">
        <v>41439</v>
      </c>
      <c r="B1065">
        <v>100.54</v>
      </c>
      <c r="C1065" t="s">
        <v>1472</v>
      </c>
    </row>
    <row r="1066" spans="1:3" x14ac:dyDescent="0.3">
      <c r="A1066" s="426">
        <v>41440</v>
      </c>
      <c r="B1066">
        <v>100.38</v>
      </c>
      <c r="C1066" t="s">
        <v>1473</v>
      </c>
    </row>
    <row r="1067" spans="1:3" x14ac:dyDescent="0.3">
      <c r="A1067" s="426">
        <v>41441</v>
      </c>
      <c r="B1067">
        <v>99.92</v>
      </c>
      <c r="C1067" t="s">
        <v>1474</v>
      </c>
    </row>
    <row r="1068" spans="1:3" x14ac:dyDescent="0.3">
      <c r="A1068" s="426">
        <v>41442</v>
      </c>
      <c r="B1068">
        <v>100.72</v>
      </c>
      <c r="C1068" t="s">
        <v>1475</v>
      </c>
    </row>
    <row r="1069" spans="1:3" x14ac:dyDescent="0.3">
      <c r="A1069" s="426">
        <v>41443</v>
      </c>
      <c r="B1069">
        <v>106.87</v>
      </c>
      <c r="C1069" t="s">
        <v>1476</v>
      </c>
    </row>
    <row r="1070" spans="1:3" x14ac:dyDescent="0.3">
      <c r="A1070" s="426">
        <v>41444</v>
      </c>
      <c r="B1070">
        <v>106.95</v>
      </c>
      <c r="C1070" t="s">
        <v>1477</v>
      </c>
    </row>
    <row r="1071" spans="1:3" x14ac:dyDescent="0.3">
      <c r="A1071" s="426">
        <v>41445</v>
      </c>
      <c r="B1071">
        <v>110.04</v>
      </c>
      <c r="C1071" t="s">
        <v>1478</v>
      </c>
    </row>
    <row r="1072" spans="1:3" x14ac:dyDescent="0.3">
      <c r="A1072" s="426">
        <v>41446</v>
      </c>
      <c r="B1072">
        <v>108.13</v>
      </c>
      <c r="C1072" t="s">
        <v>1479</v>
      </c>
    </row>
    <row r="1073" spans="1:3" x14ac:dyDescent="0.3">
      <c r="A1073" s="426">
        <v>41447</v>
      </c>
      <c r="B1073">
        <v>105.02</v>
      </c>
      <c r="C1073" t="s">
        <v>1480</v>
      </c>
    </row>
    <row r="1074" spans="1:3" x14ac:dyDescent="0.3">
      <c r="A1074" s="426">
        <v>41448</v>
      </c>
      <c r="B1074">
        <v>104.93</v>
      </c>
      <c r="C1074" t="s">
        <v>1481</v>
      </c>
    </row>
    <row r="1075" spans="1:3" x14ac:dyDescent="0.3">
      <c r="A1075" s="426">
        <v>41449</v>
      </c>
      <c r="B1075">
        <v>101.35</v>
      </c>
      <c r="C1075" t="s">
        <v>1482</v>
      </c>
    </row>
    <row r="1076" spans="1:3" x14ac:dyDescent="0.3">
      <c r="A1076" s="426">
        <v>41450</v>
      </c>
      <c r="B1076">
        <v>103.65</v>
      </c>
      <c r="C1076" t="s">
        <v>1483</v>
      </c>
    </row>
    <row r="1077" spans="1:3" x14ac:dyDescent="0.3">
      <c r="A1077" s="426">
        <v>41451</v>
      </c>
      <c r="B1077">
        <v>102.27</v>
      </c>
      <c r="C1077" t="s">
        <v>1484</v>
      </c>
    </row>
    <row r="1078" spans="1:3" x14ac:dyDescent="0.3">
      <c r="A1078" s="426">
        <v>41452</v>
      </c>
      <c r="B1078">
        <v>100.59</v>
      </c>
      <c r="C1078" t="s">
        <v>1485</v>
      </c>
    </row>
    <row r="1079" spans="1:3" x14ac:dyDescent="0.3">
      <c r="A1079" s="426">
        <v>41453</v>
      </c>
      <c r="B1079">
        <v>95.06</v>
      </c>
      <c r="C1079" t="s">
        <v>1486</v>
      </c>
    </row>
    <row r="1080" spans="1:3" x14ac:dyDescent="0.3">
      <c r="A1080" s="426">
        <v>41454</v>
      </c>
      <c r="B1080">
        <v>95.08</v>
      </c>
      <c r="C1080" t="s">
        <v>1487</v>
      </c>
    </row>
    <row r="1081" spans="1:3" x14ac:dyDescent="0.3">
      <c r="A1081" s="426">
        <v>41455</v>
      </c>
      <c r="B1081">
        <v>94.26</v>
      </c>
      <c r="C1081" t="s">
        <v>1488</v>
      </c>
    </row>
    <row r="1082" spans="1:3" x14ac:dyDescent="0.3">
      <c r="A1082" s="426">
        <v>41456</v>
      </c>
      <c r="B1082">
        <v>89.03</v>
      </c>
      <c r="C1082" t="s">
        <v>1489</v>
      </c>
    </row>
    <row r="1083" spans="1:3" x14ac:dyDescent="0.3">
      <c r="A1083" s="426">
        <v>41457</v>
      </c>
      <c r="B1083">
        <v>88.13</v>
      </c>
      <c r="C1083" t="s">
        <v>1490</v>
      </c>
    </row>
    <row r="1084" spans="1:3" x14ac:dyDescent="0.3">
      <c r="A1084" s="426">
        <v>41458</v>
      </c>
      <c r="B1084">
        <v>82.75</v>
      </c>
      <c r="C1084" t="s">
        <v>1491</v>
      </c>
    </row>
    <row r="1085" spans="1:3" x14ac:dyDescent="0.3">
      <c r="A1085" s="426">
        <v>41459</v>
      </c>
      <c r="B1085">
        <v>77.900000000000006</v>
      </c>
      <c r="C1085" t="s">
        <v>1492</v>
      </c>
    </row>
    <row r="1086" spans="1:3" x14ac:dyDescent="0.3">
      <c r="A1086" s="426">
        <v>41460</v>
      </c>
      <c r="B1086">
        <v>70.819999999999993</v>
      </c>
      <c r="C1086" t="s">
        <v>1493</v>
      </c>
    </row>
    <row r="1087" spans="1:3" x14ac:dyDescent="0.3">
      <c r="A1087" s="426">
        <v>41461</v>
      </c>
      <c r="B1087">
        <v>69.05</v>
      </c>
      <c r="C1087" t="s">
        <v>1494</v>
      </c>
    </row>
    <row r="1088" spans="1:3" x14ac:dyDescent="0.3">
      <c r="A1088" s="426">
        <v>41462</v>
      </c>
      <c r="B1088">
        <v>70.260000000000005</v>
      </c>
      <c r="C1088" t="s">
        <v>1495</v>
      </c>
    </row>
    <row r="1089" spans="1:3" x14ac:dyDescent="0.3">
      <c r="A1089" s="426">
        <v>41463</v>
      </c>
      <c r="B1089">
        <v>76</v>
      </c>
      <c r="C1089" t="s">
        <v>1496</v>
      </c>
    </row>
    <row r="1090" spans="1:3" x14ac:dyDescent="0.3">
      <c r="A1090" s="426">
        <v>41464</v>
      </c>
      <c r="B1090">
        <v>74.489999999999995</v>
      </c>
      <c r="C1090" t="s">
        <v>1497</v>
      </c>
    </row>
    <row r="1091" spans="1:3" x14ac:dyDescent="0.3">
      <c r="A1091" s="426">
        <v>41465</v>
      </c>
      <c r="B1091">
        <v>81.09</v>
      </c>
      <c r="C1091" t="s">
        <v>1498</v>
      </c>
    </row>
    <row r="1092" spans="1:3" x14ac:dyDescent="0.3">
      <c r="A1092" s="426">
        <v>41466</v>
      </c>
      <c r="B1092">
        <v>86.41</v>
      </c>
      <c r="C1092" t="s">
        <v>1499</v>
      </c>
    </row>
    <row r="1093" spans="1:3" x14ac:dyDescent="0.3">
      <c r="A1093" s="426">
        <v>41467</v>
      </c>
      <c r="B1093">
        <v>95.07</v>
      </c>
      <c r="C1093" t="s">
        <v>1500</v>
      </c>
    </row>
    <row r="1094" spans="1:3" x14ac:dyDescent="0.3">
      <c r="A1094" s="426">
        <v>41468</v>
      </c>
      <c r="B1094">
        <v>91.8</v>
      </c>
      <c r="C1094" t="s">
        <v>1501</v>
      </c>
    </row>
    <row r="1095" spans="1:3" x14ac:dyDescent="0.3">
      <c r="A1095" s="426">
        <v>41469</v>
      </c>
      <c r="B1095">
        <v>93.97</v>
      </c>
      <c r="C1095" t="s">
        <v>1502</v>
      </c>
    </row>
    <row r="1096" spans="1:3" x14ac:dyDescent="0.3">
      <c r="A1096" s="426">
        <v>41470</v>
      </c>
      <c r="B1096">
        <v>96.51</v>
      </c>
      <c r="C1096" t="s">
        <v>1503</v>
      </c>
    </row>
    <row r="1097" spans="1:3" x14ac:dyDescent="0.3">
      <c r="A1097" s="426">
        <v>41471</v>
      </c>
      <c r="B1097">
        <v>95.2</v>
      </c>
      <c r="C1097" t="s">
        <v>1504</v>
      </c>
    </row>
    <row r="1098" spans="1:3" x14ac:dyDescent="0.3">
      <c r="A1098" s="426">
        <v>41472</v>
      </c>
      <c r="B1098">
        <v>95.32</v>
      </c>
      <c r="C1098" t="s">
        <v>1505</v>
      </c>
    </row>
    <row r="1099" spans="1:3" x14ac:dyDescent="0.3">
      <c r="A1099" s="426">
        <v>41473</v>
      </c>
      <c r="B1099">
        <v>88.31</v>
      </c>
      <c r="C1099" t="s">
        <v>1506</v>
      </c>
    </row>
    <row r="1100" spans="1:3" x14ac:dyDescent="0.3">
      <c r="A1100" s="426">
        <v>41474</v>
      </c>
      <c r="B1100">
        <v>89.65</v>
      </c>
      <c r="C1100" t="s">
        <v>1507</v>
      </c>
    </row>
    <row r="1101" spans="1:3" x14ac:dyDescent="0.3">
      <c r="A1101" s="426">
        <v>41475</v>
      </c>
      <c r="B1101">
        <v>89.09</v>
      </c>
      <c r="C1101" t="s">
        <v>1508</v>
      </c>
    </row>
    <row r="1102" spans="1:3" x14ac:dyDescent="0.3">
      <c r="A1102" s="426">
        <v>41476</v>
      </c>
      <c r="B1102">
        <v>87.78</v>
      </c>
      <c r="C1102" t="s">
        <v>1509</v>
      </c>
    </row>
    <row r="1103" spans="1:3" x14ac:dyDescent="0.3">
      <c r="A1103" s="426">
        <v>41477</v>
      </c>
      <c r="B1103">
        <v>88.33</v>
      </c>
      <c r="C1103" t="s">
        <v>1510</v>
      </c>
    </row>
    <row r="1104" spans="1:3" x14ac:dyDescent="0.3">
      <c r="A1104" s="426">
        <v>41478</v>
      </c>
      <c r="B1104">
        <v>90.9</v>
      </c>
      <c r="C1104" t="s">
        <v>1511</v>
      </c>
    </row>
    <row r="1105" spans="1:3" x14ac:dyDescent="0.3">
      <c r="A1105" s="426">
        <v>41479</v>
      </c>
      <c r="B1105">
        <v>91.07</v>
      </c>
      <c r="C1105" t="s">
        <v>1512</v>
      </c>
    </row>
    <row r="1106" spans="1:3" x14ac:dyDescent="0.3">
      <c r="A1106" s="426">
        <v>41480</v>
      </c>
      <c r="B1106">
        <v>93.4</v>
      </c>
      <c r="C1106" t="s">
        <v>1513</v>
      </c>
    </row>
    <row r="1107" spans="1:3" x14ac:dyDescent="0.3">
      <c r="A1107" s="426">
        <v>41481</v>
      </c>
      <c r="B1107">
        <v>93.13</v>
      </c>
      <c r="C1107" t="s">
        <v>1514</v>
      </c>
    </row>
    <row r="1108" spans="1:3" x14ac:dyDescent="0.3">
      <c r="A1108" s="426">
        <v>41482</v>
      </c>
      <c r="B1108">
        <v>92.72</v>
      </c>
      <c r="C1108" t="s">
        <v>1515</v>
      </c>
    </row>
    <row r="1109" spans="1:3" x14ac:dyDescent="0.3">
      <c r="A1109" s="426">
        <v>41483</v>
      </c>
      <c r="B1109">
        <v>96.84</v>
      </c>
      <c r="C1109" t="s">
        <v>1516</v>
      </c>
    </row>
    <row r="1110" spans="1:3" x14ac:dyDescent="0.3">
      <c r="A1110" s="426">
        <v>41484</v>
      </c>
      <c r="B1110">
        <v>97.5</v>
      </c>
      <c r="C1110" t="s">
        <v>1517</v>
      </c>
    </row>
    <row r="1111" spans="1:3" x14ac:dyDescent="0.3">
      <c r="A1111" s="426">
        <v>41485</v>
      </c>
      <c r="B1111">
        <v>100.15</v>
      </c>
      <c r="C1111" t="s">
        <v>1518</v>
      </c>
    </row>
    <row r="1112" spans="1:3" x14ac:dyDescent="0.3">
      <c r="A1112" s="426">
        <v>41486</v>
      </c>
      <c r="B1112">
        <v>104.48</v>
      </c>
      <c r="C1112" t="s">
        <v>1519</v>
      </c>
    </row>
    <row r="1113" spans="1:3" x14ac:dyDescent="0.3">
      <c r="A1113" s="426">
        <v>41487</v>
      </c>
      <c r="B1113">
        <v>101.46</v>
      </c>
      <c r="C1113" t="s">
        <v>1520</v>
      </c>
    </row>
    <row r="1114" spans="1:3" x14ac:dyDescent="0.3">
      <c r="A1114" s="426">
        <v>41488</v>
      </c>
      <c r="B1114">
        <v>101.33</v>
      </c>
      <c r="C1114" t="s">
        <v>1521</v>
      </c>
    </row>
    <row r="1115" spans="1:3" x14ac:dyDescent="0.3">
      <c r="A1115" s="426">
        <v>41489</v>
      </c>
      <c r="B1115">
        <v>100.24</v>
      </c>
      <c r="C1115" t="s">
        <v>1522</v>
      </c>
    </row>
    <row r="1116" spans="1:3" x14ac:dyDescent="0.3">
      <c r="A1116" s="426">
        <v>41490</v>
      </c>
      <c r="B1116">
        <v>100.79</v>
      </c>
      <c r="C1116" t="s">
        <v>1523</v>
      </c>
    </row>
    <row r="1117" spans="1:3" x14ac:dyDescent="0.3">
      <c r="A1117" s="426">
        <v>41491</v>
      </c>
      <c r="B1117">
        <v>101.91</v>
      </c>
      <c r="C1117" t="s">
        <v>1524</v>
      </c>
    </row>
    <row r="1118" spans="1:3" x14ac:dyDescent="0.3">
      <c r="A1118" s="426">
        <v>41492</v>
      </c>
      <c r="B1118">
        <v>102.11</v>
      </c>
      <c r="C1118" t="s">
        <v>1525</v>
      </c>
    </row>
    <row r="1119" spans="1:3" x14ac:dyDescent="0.3">
      <c r="A1119" s="426">
        <v>41493</v>
      </c>
      <c r="B1119">
        <v>100.82</v>
      </c>
      <c r="C1119" t="s">
        <v>1526</v>
      </c>
    </row>
    <row r="1120" spans="1:3" x14ac:dyDescent="0.3">
      <c r="A1120" s="426">
        <v>41494</v>
      </c>
      <c r="B1120">
        <v>99.23</v>
      </c>
      <c r="C1120" t="s">
        <v>1527</v>
      </c>
    </row>
    <row r="1121" spans="1:3" x14ac:dyDescent="0.3">
      <c r="A1121" s="426">
        <v>41495</v>
      </c>
      <c r="B1121">
        <v>97.51</v>
      </c>
      <c r="C1121" t="s">
        <v>1528</v>
      </c>
    </row>
    <row r="1122" spans="1:3" x14ac:dyDescent="0.3">
      <c r="A1122" s="426">
        <v>41496</v>
      </c>
      <c r="B1122">
        <v>96.99</v>
      </c>
      <c r="C1122" t="s">
        <v>1529</v>
      </c>
    </row>
    <row r="1123" spans="1:3" x14ac:dyDescent="0.3">
      <c r="A1123" s="426">
        <v>41497</v>
      </c>
      <c r="B1123">
        <v>100.37</v>
      </c>
      <c r="C1123" t="s">
        <v>1530</v>
      </c>
    </row>
    <row r="1124" spans="1:3" x14ac:dyDescent="0.3">
      <c r="A1124" s="426">
        <v>41498</v>
      </c>
      <c r="B1124">
        <v>102.04</v>
      </c>
      <c r="C1124" t="s">
        <v>1531</v>
      </c>
    </row>
    <row r="1125" spans="1:3" x14ac:dyDescent="0.3">
      <c r="A1125" s="426">
        <v>41499</v>
      </c>
      <c r="B1125">
        <v>102.21</v>
      </c>
      <c r="C1125" t="s">
        <v>1532</v>
      </c>
    </row>
    <row r="1126" spans="1:3" x14ac:dyDescent="0.3">
      <c r="A1126" s="426">
        <v>41500</v>
      </c>
      <c r="B1126">
        <v>108.21</v>
      </c>
      <c r="C1126" t="s">
        <v>1533</v>
      </c>
    </row>
    <row r="1127" spans="1:3" x14ac:dyDescent="0.3">
      <c r="A1127" s="426">
        <v>41501</v>
      </c>
      <c r="B1127">
        <v>105.28</v>
      </c>
      <c r="C1127" t="s">
        <v>1534</v>
      </c>
    </row>
    <row r="1128" spans="1:3" x14ac:dyDescent="0.3">
      <c r="A1128" s="426">
        <v>41502</v>
      </c>
      <c r="B1128">
        <v>103.99</v>
      </c>
      <c r="C1128" t="s">
        <v>1535</v>
      </c>
    </row>
    <row r="1129" spans="1:3" x14ac:dyDescent="0.3">
      <c r="A1129" s="426">
        <v>41503</v>
      </c>
      <c r="B1129">
        <v>107.16</v>
      </c>
      <c r="C1129" t="s">
        <v>1536</v>
      </c>
    </row>
    <row r="1130" spans="1:3" x14ac:dyDescent="0.3">
      <c r="A1130" s="426">
        <v>41504</v>
      </c>
      <c r="B1130">
        <v>109.05</v>
      </c>
      <c r="C1130" t="s">
        <v>1537</v>
      </c>
    </row>
    <row r="1131" spans="1:3" x14ac:dyDescent="0.3">
      <c r="A1131" s="426">
        <v>41505</v>
      </c>
      <c r="B1131">
        <v>112.91</v>
      </c>
      <c r="C1131" t="s">
        <v>1538</v>
      </c>
    </row>
    <row r="1132" spans="1:3" x14ac:dyDescent="0.3">
      <c r="A1132" s="426">
        <v>41506</v>
      </c>
      <c r="B1132">
        <v>114.14</v>
      </c>
      <c r="C1132" t="s">
        <v>1539</v>
      </c>
    </row>
    <row r="1133" spans="1:3" x14ac:dyDescent="0.3">
      <c r="A1133" s="426">
        <v>41507</v>
      </c>
      <c r="B1133">
        <v>115.2</v>
      </c>
      <c r="C1133" t="s">
        <v>1540</v>
      </c>
    </row>
    <row r="1134" spans="1:3" x14ac:dyDescent="0.3">
      <c r="A1134" s="426">
        <v>41508</v>
      </c>
      <c r="B1134">
        <v>115.7</v>
      </c>
      <c r="C1134" t="s">
        <v>1541</v>
      </c>
    </row>
    <row r="1135" spans="1:3" x14ac:dyDescent="0.3">
      <c r="A1135" s="426">
        <v>41509</v>
      </c>
      <c r="B1135">
        <v>114.32</v>
      </c>
      <c r="C1135" t="s">
        <v>1542</v>
      </c>
    </row>
    <row r="1136" spans="1:3" x14ac:dyDescent="0.3">
      <c r="A1136" s="426">
        <v>41510</v>
      </c>
      <c r="B1136">
        <v>114.52</v>
      </c>
      <c r="C1136" t="s">
        <v>1543</v>
      </c>
    </row>
    <row r="1137" spans="1:3" x14ac:dyDescent="0.3">
      <c r="A1137" s="426">
        <v>41511</v>
      </c>
      <c r="B1137">
        <v>114.69</v>
      </c>
      <c r="C1137" t="s">
        <v>1544</v>
      </c>
    </row>
    <row r="1138" spans="1:3" x14ac:dyDescent="0.3">
      <c r="A1138" s="426">
        <v>41512</v>
      </c>
      <c r="B1138">
        <v>115.53</v>
      </c>
      <c r="C1138" t="s">
        <v>1545</v>
      </c>
    </row>
    <row r="1139" spans="1:3" x14ac:dyDescent="0.3">
      <c r="A1139" s="426">
        <v>41513</v>
      </c>
      <c r="B1139">
        <v>124.04</v>
      </c>
      <c r="C1139" t="s">
        <v>1546</v>
      </c>
    </row>
    <row r="1140" spans="1:3" x14ac:dyDescent="0.3">
      <c r="A1140" s="426">
        <v>41514</v>
      </c>
      <c r="B1140">
        <v>123.32</v>
      </c>
      <c r="C1140" t="s">
        <v>1547</v>
      </c>
    </row>
    <row r="1141" spans="1:3" x14ac:dyDescent="0.3">
      <c r="A1141" s="426">
        <v>41515</v>
      </c>
      <c r="B1141">
        <v>122.43</v>
      </c>
      <c r="C1141" t="s">
        <v>1548</v>
      </c>
    </row>
    <row r="1142" spans="1:3" x14ac:dyDescent="0.3">
      <c r="A1142" s="426">
        <v>41516</v>
      </c>
      <c r="B1142">
        <v>131.47999999999999</v>
      </c>
      <c r="C1142" t="s">
        <v>1549</v>
      </c>
    </row>
    <row r="1143" spans="1:3" x14ac:dyDescent="0.3">
      <c r="A1143" s="426">
        <v>41517</v>
      </c>
      <c r="B1143">
        <v>136.30000000000001</v>
      </c>
      <c r="C1143" t="s">
        <v>1550</v>
      </c>
    </row>
    <row r="1144" spans="1:3" x14ac:dyDescent="0.3">
      <c r="A1144" s="426">
        <v>41518</v>
      </c>
      <c r="B1144">
        <v>137.57</v>
      </c>
      <c r="C1144" t="s">
        <v>1551</v>
      </c>
    </row>
    <row r="1145" spans="1:3" x14ac:dyDescent="0.3">
      <c r="A1145" s="426">
        <v>41519</v>
      </c>
      <c r="B1145">
        <v>136.41999999999999</v>
      </c>
      <c r="C1145" t="s">
        <v>1552</v>
      </c>
    </row>
    <row r="1146" spans="1:3" x14ac:dyDescent="0.3">
      <c r="A1146" s="426">
        <v>41520</v>
      </c>
      <c r="B1146">
        <v>132.94999999999999</v>
      </c>
      <c r="C1146" t="s">
        <v>1553</v>
      </c>
    </row>
    <row r="1147" spans="1:3" x14ac:dyDescent="0.3">
      <c r="A1147" s="426">
        <v>41521</v>
      </c>
      <c r="B1147">
        <v>127.63</v>
      </c>
      <c r="C1147" t="s">
        <v>1554</v>
      </c>
    </row>
    <row r="1148" spans="1:3" x14ac:dyDescent="0.3">
      <c r="A1148" s="426">
        <v>41522</v>
      </c>
      <c r="B1148">
        <v>119.49</v>
      </c>
      <c r="C1148" t="s">
        <v>1555</v>
      </c>
    </row>
    <row r="1149" spans="1:3" x14ac:dyDescent="0.3">
      <c r="A1149" s="426">
        <v>41523</v>
      </c>
      <c r="B1149">
        <v>122.84</v>
      </c>
      <c r="C1149" t="s">
        <v>1556</v>
      </c>
    </row>
    <row r="1150" spans="1:3" x14ac:dyDescent="0.3">
      <c r="A1150" s="426">
        <v>41524</v>
      </c>
      <c r="B1150">
        <v>119.91</v>
      </c>
      <c r="C1150" t="s">
        <v>1557</v>
      </c>
    </row>
    <row r="1151" spans="1:3" x14ac:dyDescent="0.3">
      <c r="A1151" s="426">
        <v>41525</v>
      </c>
      <c r="B1151">
        <v>125.97</v>
      </c>
      <c r="C1151" t="s">
        <v>1558</v>
      </c>
    </row>
    <row r="1152" spans="1:3" x14ac:dyDescent="0.3">
      <c r="A1152" s="426">
        <v>41526</v>
      </c>
      <c r="B1152">
        <v>125.47</v>
      </c>
      <c r="C1152" t="s">
        <v>1559</v>
      </c>
    </row>
    <row r="1153" spans="1:3" x14ac:dyDescent="0.3">
      <c r="A1153" s="426">
        <v>41527</v>
      </c>
      <c r="B1153">
        <v>129.30000000000001</v>
      </c>
      <c r="C1153" t="s">
        <v>1560</v>
      </c>
    </row>
    <row r="1154" spans="1:3" x14ac:dyDescent="0.3">
      <c r="A1154" s="426">
        <v>41528</v>
      </c>
      <c r="B1154">
        <v>132.58000000000001</v>
      </c>
      <c r="C1154" t="s">
        <v>1561</v>
      </c>
    </row>
    <row r="1155" spans="1:3" x14ac:dyDescent="0.3">
      <c r="A1155" s="426">
        <v>41529</v>
      </c>
      <c r="B1155">
        <v>133.53</v>
      </c>
      <c r="C1155" t="s">
        <v>1562</v>
      </c>
    </row>
    <row r="1156" spans="1:3" x14ac:dyDescent="0.3">
      <c r="A1156" s="426">
        <v>41530</v>
      </c>
      <c r="B1156">
        <v>127.68</v>
      </c>
      <c r="C1156" t="s">
        <v>1563</v>
      </c>
    </row>
    <row r="1157" spans="1:3" x14ac:dyDescent="0.3">
      <c r="A1157" s="426">
        <v>41531</v>
      </c>
      <c r="B1157">
        <v>128.26</v>
      </c>
      <c r="C1157" t="s">
        <v>1564</v>
      </c>
    </row>
    <row r="1158" spans="1:3" x14ac:dyDescent="0.3">
      <c r="A1158" s="426">
        <v>41532</v>
      </c>
      <c r="B1158">
        <v>129.69999999999999</v>
      </c>
      <c r="C1158" t="s">
        <v>1565</v>
      </c>
    </row>
    <row r="1159" spans="1:3" x14ac:dyDescent="0.3">
      <c r="A1159" s="426">
        <v>41533</v>
      </c>
      <c r="B1159">
        <v>130.41</v>
      </c>
      <c r="C1159" t="s">
        <v>1566</v>
      </c>
    </row>
    <row r="1160" spans="1:3" x14ac:dyDescent="0.3">
      <c r="A1160" s="426">
        <v>41534</v>
      </c>
      <c r="B1160">
        <v>131.68</v>
      </c>
      <c r="C1160" t="s">
        <v>1567</v>
      </c>
    </row>
    <row r="1161" spans="1:3" x14ac:dyDescent="0.3">
      <c r="A1161" s="426">
        <v>41535</v>
      </c>
      <c r="B1161">
        <v>130.19</v>
      </c>
      <c r="C1161" t="s">
        <v>1568</v>
      </c>
    </row>
    <row r="1162" spans="1:3" x14ac:dyDescent="0.3">
      <c r="A1162" s="426">
        <v>41536</v>
      </c>
      <c r="B1162">
        <v>128.85</v>
      </c>
      <c r="C1162" t="s">
        <v>1569</v>
      </c>
    </row>
    <row r="1163" spans="1:3" x14ac:dyDescent="0.3">
      <c r="A1163" s="426">
        <v>41537</v>
      </c>
      <c r="B1163">
        <v>127.32</v>
      </c>
      <c r="C1163" t="s">
        <v>1570</v>
      </c>
    </row>
    <row r="1164" spans="1:3" x14ac:dyDescent="0.3">
      <c r="A1164" s="426">
        <v>41538</v>
      </c>
      <c r="B1164">
        <v>126.95</v>
      </c>
      <c r="C1164" t="s">
        <v>1571</v>
      </c>
    </row>
    <row r="1165" spans="1:3" x14ac:dyDescent="0.3">
      <c r="A1165" s="426">
        <v>41539</v>
      </c>
      <c r="B1165">
        <v>127</v>
      </c>
      <c r="C1165" t="s">
        <v>1572</v>
      </c>
    </row>
    <row r="1166" spans="1:3" x14ac:dyDescent="0.3">
      <c r="A1166" s="426">
        <v>41540</v>
      </c>
      <c r="B1166">
        <v>125.78</v>
      </c>
      <c r="C1166" t="s">
        <v>1573</v>
      </c>
    </row>
    <row r="1167" spans="1:3" x14ac:dyDescent="0.3">
      <c r="A1167" s="426">
        <v>41541</v>
      </c>
      <c r="B1167">
        <v>127.26</v>
      </c>
      <c r="C1167" t="s">
        <v>1574</v>
      </c>
    </row>
    <row r="1168" spans="1:3" x14ac:dyDescent="0.3">
      <c r="A1168" s="426">
        <v>41542</v>
      </c>
      <c r="B1168">
        <v>127.7</v>
      </c>
      <c r="C1168" t="s">
        <v>1575</v>
      </c>
    </row>
    <row r="1169" spans="1:3" x14ac:dyDescent="0.3">
      <c r="A1169" s="426">
        <v>41543</v>
      </c>
      <c r="B1169">
        <v>130.25</v>
      </c>
      <c r="C1169" t="s">
        <v>1576</v>
      </c>
    </row>
    <row r="1170" spans="1:3" x14ac:dyDescent="0.3">
      <c r="A1170" s="426">
        <v>41544</v>
      </c>
      <c r="B1170">
        <v>131.82</v>
      </c>
      <c r="C1170" t="s">
        <v>1577</v>
      </c>
    </row>
    <row r="1171" spans="1:3" x14ac:dyDescent="0.3">
      <c r="A1171" s="426">
        <v>41545</v>
      </c>
      <c r="B1171">
        <v>135.97999999999999</v>
      </c>
      <c r="C1171" t="s">
        <v>1578</v>
      </c>
    </row>
    <row r="1172" spans="1:3" x14ac:dyDescent="0.3">
      <c r="A1172" s="426">
        <v>41546</v>
      </c>
      <c r="B1172">
        <v>132.87</v>
      </c>
      <c r="C1172" t="s">
        <v>1579</v>
      </c>
    </row>
    <row r="1173" spans="1:3" x14ac:dyDescent="0.3">
      <c r="A1173" s="426">
        <v>41547</v>
      </c>
      <c r="B1173">
        <v>133.44</v>
      </c>
      <c r="C1173" t="s">
        <v>1580</v>
      </c>
    </row>
    <row r="1174" spans="1:3" x14ac:dyDescent="0.3">
      <c r="A1174" s="426">
        <v>41548</v>
      </c>
      <c r="B1174">
        <v>132.76</v>
      </c>
      <c r="C1174" t="s">
        <v>1581</v>
      </c>
    </row>
    <row r="1175" spans="1:3" x14ac:dyDescent="0.3">
      <c r="A1175" s="426">
        <v>41549</v>
      </c>
      <c r="B1175">
        <v>120.86</v>
      </c>
      <c r="C1175" t="s">
        <v>1582</v>
      </c>
    </row>
    <row r="1176" spans="1:3" x14ac:dyDescent="0.3">
      <c r="A1176" s="426">
        <v>41550</v>
      </c>
      <c r="B1176">
        <v>128.9</v>
      </c>
      <c r="C1176" t="s">
        <v>1583</v>
      </c>
    </row>
    <row r="1177" spans="1:3" x14ac:dyDescent="0.3">
      <c r="A1177" s="426">
        <v>41551</v>
      </c>
      <c r="B1177">
        <v>127.33</v>
      </c>
      <c r="C1177" t="s">
        <v>1584</v>
      </c>
    </row>
    <row r="1178" spans="1:3" x14ac:dyDescent="0.3">
      <c r="A1178" s="426">
        <v>41552</v>
      </c>
      <c r="B1178">
        <v>127.38</v>
      </c>
      <c r="C1178" t="s">
        <v>1585</v>
      </c>
    </row>
    <row r="1179" spans="1:3" x14ac:dyDescent="0.3">
      <c r="A1179" s="426">
        <v>41553</v>
      </c>
      <c r="B1179">
        <v>127.86</v>
      </c>
      <c r="C1179" t="s">
        <v>1586</v>
      </c>
    </row>
    <row r="1180" spans="1:3" x14ac:dyDescent="0.3">
      <c r="A1180" s="426">
        <v>41554</v>
      </c>
      <c r="B1180">
        <v>126.57</v>
      </c>
      <c r="C1180" t="s">
        <v>1587</v>
      </c>
    </row>
    <row r="1181" spans="1:3" x14ac:dyDescent="0.3">
      <c r="A1181" s="426">
        <v>41555</v>
      </c>
      <c r="B1181">
        <v>131.09</v>
      </c>
      <c r="C1181" t="s">
        <v>1588</v>
      </c>
    </row>
    <row r="1182" spans="1:3" x14ac:dyDescent="0.3">
      <c r="A1182" s="426">
        <v>41556</v>
      </c>
      <c r="B1182">
        <v>130.41</v>
      </c>
      <c r="C1182" t="s">
        <v>1589</v>
      </c>
    </row>
    <row r="1183" spans="1:3" x14ac:dyDescent="0.3">
      <c r="A1183" s="426">
        <v>41557</v>
      </c>
      <c r="B1183">
        <v>130.66999999999999</v>
      </c>
      <c r="C1183" t="s">
        <v>1590</v>
      </c>
    </row>
    <row r="1184" spans="1:3" x14ac:dyDescent="0.3">
      <c r="A1184" s="426">
        <v>41558</v>
      </c>
      <c r="B1184">
        <v>133.69</v>
      </c>
      <c r="C1184" t="s">
        <v>1591</v>
      </c>
    </row>
    <row r="1185" spans="1:3" x14ac:dyDescent="0.3">
      <c r="A1185" s="426">
        <v>41559</v>
      </c>
      <c r="B1185">
        <v>136.79</v>
      </c>
      <c r="C1185" t="s">
        <v>1592</v>
      </c>
    </row>
    <row r="1186" spans="1:3" x14ac:dyDescent="0.3">
      <c r="A1186" s="426">
        <v>41560</v>
      </c>
      <c r="B1186">
        <v>140.06</v>
      </c>
      <c r="C1186" t="s">
        <v>1593</v>
      </c>
    </row>
    <row r="1187" spans="1:3" x14ac:dyDescent="0.3">
      <c r="A1187" s="426">
        <v>41561</v>
      </c>
      <c r="B1187">
        <v>145.13999999999999</v>
      </c>
      <c r="C1187" t="s">
        <v>1594</v>
      </c>
    </row>
    <row r="1188" spans="1:3" x14ac:dyDescent="0.3">
      <c r="A1188" s="426">
        <v>41562</v>
      </c>
      <c r="B1188">
        <v>144.82</v>
      </c>
      <c r="C1188" t="s">
        <v>1595</v>
      </c>
    </row>
    <row r="1189" spans="1:3" x14ac:dyDescent="0.3">
      <c r="A1189" s="426">
        <v>41563</v>
      </c>
      <c r="B1189">
        <v>147.37</v>
      </c>
      <c r="C1189" t="s">
        <v>1596</v>
      </c>
    </row>
    <row r="1190" spans="1:3" x14ac:dyDescent="0.3">
      <c r="A1190" s="426">
        <v>41564</v>
      </c>
      <c r="B1190">
        <v>154.76</v>
      </c>
      <c r="C1190" t="s">
        <v>1597</v>
      </c>
    </row>
    <row r="1191" spans="1:3" x14ac:dyDescent="0.3">
      <c r="A1191" s="426">
        <v>41565</v>
      </c>
      <c r="B1191">
        <v>167.98</v>
      </c>
      <c r="C1191" t="s">
        <v>1598</v>
      </c>
    </row>
    <row r="1192" spans="1:3" x14ac:dyDescent="0.3">
      <c r="A1192" s="426">
        <v>41566</v>
      </c>
      <c r="B1192">
        <v>169.62</v>
      </c>
      <c r="C1192" t="s">
        <v>1599</v>
      </c>
    </row>
    <row r="1193" spans="1:3" x14ac:dyDescent="0.3">
      <c r="A1193" s="426">
        <v>41567</v>
      </c>
      <c r="B1193">
        <v>182.85</v>
      </c>
      <c r="C1193" t="s">
        <v>1600</v>
      </c>
    </row>
    <row r="1194" spans="1:3" x14ac:dyDescent="0.3">
      <c r="A1194" s="426">
        <v>41568</v>
      </c>
      <c r="B1194">
        <v>194.49</v>
      </c>
      <c r="C1194" t="s">
        <v>1601</v>
      </c>
    </row>
    <row r="1195" spans="1:3" x14ac:dyDescent="0.3">
      <c r="A1195" s="426">
        <v>41569</v>
      </c>
      <c r="B1195">
        <v>208.9</v>
      </c>
      <c r="C1195" t="s">
        <v>1602</v>
      </c>
    </row>
    <row r="1196" spans="1:3" x14ac:dyDescent="0.3">
      <c r="A1196" s="426">
        <v>41570</v>
      </c>
      <c r="B1196">
        <v>195.84</v>
      </c>
      <c r="C1196" t="s">
        <v>1603</v>
      </c>
    </row>
    <row r="1197" spans="1:3" x14ac:dyDescent="0.3">
      <c r="A1197" s="426">
        <v>41571</v>
      </c>
      <c r="B1197">
        <v>180.55</v>
      </c>
      <c r="C1197" t="s">
        <v>1604</v>
      </c>
    </row>
    <row r="1198" spans="1:3" x14ac:dyDescent="0.3">
      <c r="A1198" s="426">
        <v>41572</v>
      </c>
      <c r="B1198">
        <v>177.73</v>
      </c>
      <c r="C1198" t="s">
        <v>1605</v>
      </c>
    </row>
    <row r="1199" spans="1:3" x14ac:dyDescent="0.3">
      <c r="A1199" s="426">
        <v>41573</v>
      </c>
      <c r="B1199">
        <v>195.95</v>
      </c>
      <c r="C1199" t="s">
        <v>1606</v>
      </c>
    </row>
    <row r="1200" spans="1:3" x14ac:dyDescent="0.3">
      <c r="A1200" s="426">
        <v>41574</v>
      </c>
      <c r="B1200">
        <v>201.42</v>
      </c>
      <c r="C1200" t="s">
        <v>1607</v>
      </c>
    </row>
    <row r="1201" spans="1:3" x14ac:dyDescent="0.3">
      <c r="A1201" s="426">
        <v>41575</v>
      </c>
      <c r="B1201">
        <v>202</v>
      </c>
      <c r="C1201" t="s">
        <v>1608</v>
      </c>
    </row>
    <row r="1202" spans="1:3" x14ac:dyDescent="0.3">
      <c r="A1202" s="426">
        <v>41576</v>
      </c>
      <c r="B1202">
        <v>204.92</v>
      </c>
      <c r="C1202" t="s">
        <v>1609</v>
      </c>
    </row>
    <row r="1203" spans="1:3" x14ac:dyDescent="0.3">
      <c r="A1203" s="426">
        <v>41577</v>
      </c>
      <c r="B1203">
        <v>203.76</v>
      </c>
      <c r="C1203" t="s">
        <v>1610</v>
      </c>
    </row>
    <row r="1204" spans="1:3" x14ac:dyDescent="0.3">
      <c r="A1204" s="426">
        <v>41578</v>
      </c>
      <c r="B1204">
        <v>205.74</v>
      </c>
      <c r="C1204" t="s">
        <v>1611</v>
      </c>
    </row>
    <row r="1205" spans="1:3" x14ac:dyDescent="0.3">
      <c r="A1205" s="426">
        <v>41579</v>
      </c>
      <c r="B1205">
        <v>208.52</v>
      </c>
      <c r="C1205" t="s">
        <v>1612</v>
      </c>
    </row>
    <row r="1206" spans="1:3" x14ac:dyDescent="0.3">
      <c r="A1206" s="426">
        <v>41580</v>
      </c>
      <c r="B1206">
        <v>207.34</v>
      </c>
      <c r="C1206" t="s">
        <v>1613</v>
      </c>
    </row>
    <row r="1207" spans="1:3" x14ac:dyDescent="0.3">
      <c r="A1207" s="426">
        <v>41581</v>
      </c>
      <c r="B1207">
        <v>217.19</v>
      </c>
      <c r="C1207" t="s">
        <v>1614</v>
      </c>
    </row>
    <row r="1208" spans="1:3" x14ac:dyDescent="0.3">
      <c r="A1208" s="426">
        <v>41582</v>
      </c>
      <c r="B1208">
        <v>234.33</v>
      </c>
      <c r="C1208" t="s">
        <v>1615</v>
      </c>
    </row>
    <row r="1209" spans="1:3" x14ac:dyDescent="0.3">
      <c r="A1209" s="426">
        <v>41583</v>
      </c>
      <c r="B1209">
        <v>257.48</v>
      </c>
      <c r="C1209" t="s">
        <v>1616</v>
      </c>
    </row>
    <row r="1210" spans="1:3" x14ac:dyDescent="0.3">
      <c r="A1210" s="426">
        <v>41584</v>
      </c>
      <c r="B1210">
        <v>292.10000000000002</v>
      </c>
      <c r="C1210" t="s">
        <v>1617</v>
      </c>
    </row>
    <row r="1211" spans="1:3" x14ac:dyDescent="0.3">
      <c r="A1211" s="426">
        <v>41585</v>
      </c>
      <c r="B1211">
        <v>316.73</v>
      </c>
      <c r="C1211" t="s">
        <v>1618</v>
      </c>
    </row>
    <row r="1212" spans="1:3" x14ac:dyDescent="0.3">
      <c r="A1212" s="426">
        <v>41586</v>
      </c>
      <c r="B1212">
        <v>372.91</v>
      </c>
      <c r="C1212" t="s">
        <v>1619</v>
      </c>
    </row>
    <row r="1213" spans="1:3" x14ac:dyDescent="0.3">
      <c r="A1213" s="426">
        <v>41587</v>
      </c>
      <c r="B1213">
        <v>338.34</v>
      </c>
      <c r="C1213" t="s">
        <v>1620</v>
      </c>
    </row>
    <row r="1214" spans="1:3" x14ac:dyDescent="0.3">
      <c r="A1214" s="426">
        <v>41588</v>
      </c>
      <c r="B1214">
        <v>339.29</v>
      </c>
      <c r="C1214" t="s">
        <v>1621</v>
      </c>
    </row>
    <row r="1215" spans="1:3" x14ac:dyDescent="0.3">
      <c r="A1215" s="426">
        <v>41589</v>
      </c>
      <c r="B1215">
        <v>376.88</v>
      </c>
      <c r="C1215" t="s">
        <v>1622</v>
      </c>
    </row>
    <row r="1216" spans="1:3" x14ac:dyDescent="0.3">
      <c r="A1216" s="426">
        <v>41590</v>
      </c>
      <c r="B1216">
        <v>383.04</v>
      </c>
      <c r="C1216" t="s">
        <v>1623</v>
      </c>
    </row>
    <row r="1217" spans="1:3" x14ac:dyDescent="0.3">
      <c r="A1217" s="426">
        <v>41591</v>
      </c>
      <c r="B1217">
        <v>425.59</v>
      </c>
      <c r="C1217" t="s">
        <v>1624</v>
      </c>
    </row>
    <row r="1218" spans="1:3" x14ac:dyDescent="0.3">
      <c r="A1218" s="426">
        <v>41592</v>
      </c>
      <c r="B1218">
        <v>427.98</v>
      </c>
      <c r="C1218" t="s">
        <v>1625</v>
      </c>
    </row>
    <row r="1219" spans="1:3" x14ac:dyDescent="0.3">
      <c r="A1219" s="426">
        <v>41593</v>
      </c>
      <c r="B1219">
        <v>440.34</v>
      </c>
      <c r="C1219" t="s">
        <v>1626</v>
      </c>
    </row>
    <row r="1220" spans="1:3" x14ac:dyDescent="0.3">
      <c r="A1220" s="426">
        <v>41594</v>
      </c>
      <c r="B1220">
        <v>481.42</v>
      </c>
      <c r="C1220" t="s">
        <v>1627</v>
      </c>
    </row>
    <row r="1221" spans="1:3" x14ac:dyDescent="0.3">
      <c r="A1221" s="426">
        <v>41595</v>
      </c>
      <c r="B1221">
        <v>595.83000000000004</v>
      </c>
      <c r="C1221" t="s">
        <v>1628</v>
      </c>
    </row>
    <row r="1222" spans="1:3" x14ac:dyDescent="0.3">
      <c r="A1222" s="426">
        <v>41596</v>
      </c>
      <c r="B1222">
        <v>807.42</v>
      </c>
      <c r="C1222" t="s">
        <v>1629</v>
      </c>
    </row>
    <row r="1223" spans="1:3" x14ac:dyDescent="0.3">
      <c r="A1223" s="426">
        <v>41597</v>
      </c>
      <c r="B1223">
        <v>567.6</v>
      </c>
      <c r="C1223" t="s">
        <v>1630</v>
      </c>
    </row>
    <row r="1224" spans="1:3" x14ac:dyDescent="0.3">
      <c r="A1224" s="426">
        <v>41598</v>
      </c>
      <c r="B1224">
        <v>675.89</v>
      </c>
      <c r="C1224" t="s">
        <v>1631</v>
      </c>
    </row>
    <row r="1225" spans="1:3" x14ac:dyDescent="0.3">
      <c r="A1225" s="426">
        <v>41599</v>
      </c>
      <c r="B1225">
        <v>758.16</v>
      </c>
      <c r="C1225" t="s">
        <v>1632</v>
      </c>
    </row>
    <row r="1226" spans="1:3" x14ac:dyDescent="0.3">
      <c r="A1226" s="426">
        <v>41600</v>
      </c>
      <c r="B1226">
        <v>896.89</v>
      </c>
      <c r="C1226" t="s">
        <v>1633</v>
      </c>
    </row>
    <row r="1227" spans="1:3" x14ac:dyDescent="0.3">
      <c r="A1227" s="426">
        <v>41601</v>
      </c>
      <c r="B1227">
        <v>813.33</v>
      </c>
      <c r="C1227" t="s">
        <v>1634</v>
      </c>
    </row>
    <row r="1228" spans="1:3" x14ac:dyDescent="0.3">
      <c r="A1228" s="426">
        <v>41602</v>
      </c>
      <c r="B1228">
        <v>844.19</v>
      </c>
      <c r="C1228" t="s">
        <v>1635</v>
      </c>
    </row>
    <row r="1229" spans="1:3" x14ac:dyDescent="0.3">
      <c r="A1229" s="426">
        <v>41603</v>
      </c>
      <c r="B1229">
        <v>847.81</v>
      </c>
      <c r="C1229" t="s">
        <v>1636</v>
      </c>
    </row>
    <row r="1230" spans="1:3" x14ac:dyDescent="0.3">
      <c r="A1230" s="426">
        <v>41604</v>
      </c>
      <c r="B1230">
        <v>908.58</v>
      </c>
      <c r="C1230" t="s">
        <v>1637</v>
      </c>
    </row>
    <row r="1231" spans="1:3" x14ac:dyDescent="0.3">
      <c r="A1231" s="426">
        <v>41605</v>
      </c>
      <c r="B1231">
        <v>1012.21</v>
      </c>
      <c r="C1231" t="s">
        <v>1638</v>
      </c>
    </row>
    <row r="1232" spans="1:3" x14ac:dyDescent="0.3">
      <c r="A1232" s="426">
        <v>41606</v>
      </c>
      <c r="B1232">
        <v>1129.43</v>
      </c>
      <c r="C1232" t="s">
        <v>1639</v>
      </c>
    </row>
    <row r="1233" spans="1:3" x14ac:dyDescent="0.3">
      <c r="A1233" s="426">
        <v>41607</v>
      </c>
      <c r="B1233">
        <v>1183.5899999999999</v>
      </c>
      <c r="C1233" t="s">
        <v>1640</v>
      </c>
    </row>
    <row r="1234" spans="1:3" x14ac:dyDescent="0.3">
      <c r="A1234" s="426">
        <v>41608</v>
      </c>
      <c r="B1234">
        <v>1103.8900000000001</v>
      </c>
      <c r="C1234" t="s">
        <v>1641</v>
      </c>
    </row>
    <row r="1235" spans="1:3" x14ac:dyDescent="0.3">
      <c r="A1235" s="426">
        <v>41609</v>
      </c>
      <c r="B1235">
        <v>1034.48</v>
      </c>
      <c r="C1235" t="s">
        <v>1642</v>
      </c>
    </row>
    <row r="1236" spans="1:3" x14ac:dyDescent="0.3">
      <c r="A1236" s="426">
        <v>41610</v>
      </c>
      <c r="B1236">
        <v>1047.9000000000001</v>
      </c>
      <c r="C1236" t="s">
        <v>1643</v>
      </c>
    </row>
    <row r="1237" spans="1:3" x14ac:dyDescent="0.3">
      <c r="A1237" s="426">
        <v>41611</v>
      </c>
      <c r="B1237">
        <v>1090.4000000000001</v>
      </c>
      <c r="C1237" t="s">
        <v>1644</v>
      </c>
    </row>
    <row r="1238" spans="1:3" x14ac:dyDescent="0.3">
      <c r="A1238" s="426">
        <v>41612</v>
      </c>
      <c r="B1238">
        <v>972.6</v>
      </c>
      <c r="C1238" t="s">
        <v>1645</v>
      </c>
    </row>
    <row r="1239" spans="1:3" x14ac:dyDescent="0.3">
      <c r="A1239" s="426">
        <v>41613</v>
      </c>
      <c r="B1239">
        <v>1017.03</v>
      </c>
      <c r="C1239" t="s">
        <v>1646</v>
      </c>
    </row>
    <row r="1240" spans="1:3" x14ac:dyDescent="0.3">
      <c r="A1240" s="426">
        <v>41614</v>
      </c>
      <c r="B1240">
        <v>683.44</v>
      </c>
      <c r="C1240" t="s">
        <v>1647</v>
      </c>
    </row>
    <row r="1241" spans="1:3" x14ac:dyDescent="0.3">
      <c r="A1241" s="426">
        <v>41615</v>
      </c>
      <c r="B1241">
        <v>793.24</v>
      </c>
      <c r="C1241" t="s">
        <v>1648</v>
      </c>
    </row>
    <row r="1242" spans="1:3" x14ac:dyDescent="0.3">
      <c r="A1242" s="426">
        <v>41616</v>
      </c>
      <c r="B1242">
        <v>892.2</v>
      </c>
      <c r="C1242" t="s">
        <v>1649</v>
      </c>
    </row>
    <row r="1243" spans="1:3" x14ac:dyDescent="0.3">
      <c r="A1243" s="426">
        <v>41617</v>
      </c>
      <c r="B1243">
        <v>934.58</v>
      </c>
      <c r="C1243" t="s">
        <v>1650</v>
      </c>
    </row>
    <row r="1244" spans="1:3" x14ac:dyDescent="0.3">
      <c r="A1244" s="426">
        <v>41618</v>
      </c>
      <c r="B1244">
        <v>941.63</v>
      </c>
      <c r="C1244" t="s">
        <v>1651</v>
      </c>
    </row>
    <row r="1245" spans="1:3" x14ac:dyDescent="0.3">
      <c r="A1245" s="426">
        <v>41619</v>
      </c>
      <c r="B1245">
        <v>880.86</v>
      </c>
      <c r="C1245" t="s">
        <v>1652</v>
      </c>
    </row>
    <row r="1246" spans="1:3" x14ac:dyDescent="0.3">
      <c r="A1246" s="426">
        <v>41620</v>
      </c>
      <c r="B1246">
        <v>922.68</v>
      </c>
      <c r="C1246" t="s">
        <v>1653</v>
      </c>
    </row>
    <row r="1247" spans="1:3" x14ac:dyDescent="0.3">
      <c r="A1247" s="426">
        <v>41621</v>
      </c>
      <c r="B1247">
        <v>888.69</v>
      </c>
      <c r="C1247" t="s">
        <v>1654</v>
      </c>
    </row>
    <row r="1248" spans="1:3" x14ac:dyDescent="0.3">
      <c r="A1248" s="426">
        <v>41622</v>
      </c>
      <c r="B1248">
        <v>835.08</v>
      </c>
      <c r="C1248" t="s">
        <v>1655</v>
      </c>
    </row>
    <row r="1249" spans="1:3" x14ac:dyDescent="0.3">
      <c r="A1249" s="426">
        <v>41623</v>
      </c>
      <c r="B1249">
        <v>812.61</v>
      </c>
      <c r="C1249" t="s">
        <v>1656</v>
      </c>
    </row>
    <row r="1250" spans="1:3" x14ac:dyDescent="0.3">
      <c r="A1250" s="426">
        <v>41624</v>
      </c>
      <c r="B1250">
        <v>682.05</v>
      </c>
      <c r="C1250" t="s">
        <v>1657</v>
      </c>
    </row>
    <row r="1251" spans="1:3" x14ac:dyDescent="0.3">
      <c r="A1251" s="426">
        <v>41625</v>
      </c>
      <c r="B1251">
        <v>480</v>
      </c>
      <c r="C1251" t="s">
        <v>1658</v>
      </c>
    </row>
    <row r="1252" spans="1:3" x14ac:dyDescent="0.3">
      <c r="A1252" s="426">
        <v>41626</v>
      </c>
      <c r="B1252">
        <v>586.66999999999996</v>
      </c>
      <c r="C1252" t="s">
        <v>1659</v>
      </c>
    </row>
    <row r="1253" spans="1:3" x14ac:dyDescent="0.3">
      <c r="A1253" s="426">
        <v>41627</v>
      </c>
      <c r="B1253">
        <v>675.37</v>
      </c>
      <c r="C1253" t="s">
        <v>1660</v>
      </c>
    </row>
    <row r="1254" spans="1:3" x14ac:dyDescent="0.3">
      <c r="A1254" s="426">
        <v>41628</v>
      </c>
      <c r="B1254">
        <v>613.65</v>
      </c>
      <c r="C1254" t="s">
        <v>1661</v>
      </c>
    </row>
    <row r="1255" spans="1:3" x14ac:dyDescent="0.3">
      <c r="A1255" s="426">
        <v>41629</v>
      </c>
      <c r="B1255">
        <v>635.79999999999995</v>
      </c>
      <c r="C1255" t="s">
        <v>1662</v>
      </c>
    </row>
    <row r="1256" spans="1:3" x14ac:dyDescent="0.3">
      <c r="A1256" s="426">
        <v>41630</v>
      </c>
      <c r="B1256">
        <v>627.64</v>
      </c>
      <c r="C1256" t="s">
        <v>1663</v>
      </c>
    </row>
    <row r="1257" spans="1:3" x14ac:dyDescent="0.3">
      <c r="A1257" s="426">
        <v>41631</v>
      </c>
      <c r="B1257">
        <v>649.26</v>
      </c>
      <c r="C1257" t="s">
        <v>1664</v>
      </c>
    </row>
    <row r="1258" spans="1:3" x14ac:dyDescent="0.3">
      <c r="A1258" s="426">
        <v>41632</v>
      </c>
      <c r="B1258">
        <v>658.45</v>
      </c>
      <c r="C1258" t="s">
        <v>1665</v>
      </c>
    </row>
    <row r="1259" spans="1:3" x14ac:dyDescent="0.3">
      <c r="A1259" s="426">
        <v>41633</v>
      </c>
      <c r="B1259">
        <v>699.69</v>
      </c>
      <c r="C1259" t="s">
        <v>1666</v>
      </c>
    </row>
    <row r="1260" spans="1:3" x14ac:dyDescent="0.3">
      <c r="A1260" s="426">
        <v>41634</v>
      </c>
      <c r="B1260">
        <v>745.22</v>
      </c>
      <c r="C1260" t="s">
        <v>1667</v>
      </c>
    </row>
    <row r="1261" spans="1:3" x14ac:dyDescent="0.3">
      <c r="A1261" s="426">
        <v>41635</v>
      </c>
      <c r="B1261">
        <v>730.17</v>
      </c>
      <c r="C1261" t="s">
        <v>1668</v>
      </c>
    </row>
    <row r="1262" spans="1:3" x14ac:dyDescent="0.3">
      <c r="A1262" s="426">
        <v>41636</v>
      </c>
      <c r="B1262">
        <v>715.06</v>
      </c>
      <c r="C1262" t="s">
        <v>1669</v>
      </c>
    </row>
    <row r="1263" spans="1:3" x14ac:dyDescent="0.3">
      <c r="A1263" s="426">
        <v>41637</v>
      </c>
      <c r="B1263">
        <v>733.41</v>
      </c>
      <c r="C1263" t="s">
        <v>1670</v>
      </c>
    </row>
    <row r="1264" spans="1:3" x14ac:dyDescent="0.3">
      <c r="A1264" s="426">
        <v>41638</v>
      </c>
      <c r="B1264">
        <v>730.04</v>
      </c>
      <c r="C1264" t="s">
        <v>1671</v>
      </c>
    </row>
    <row r="1265" spans="1:3" x14ac:dyDescent="0.3">
      <c r="A1265" s="426">
        <v>41639</v>
      </c>
      <c r="B1265">
        <v>749.09</v>
      </c>
      <c r="C1265" t="s">
        <v>1672</v>
      </c>
    </row>
    <row r="1266" spans="1:3" x14ac:dyDescent="0.3">
      <c r="A1266" s="426">
        <v>41640</v>
      </c>
      <c r="B1266">
        <v>739.91</v>
      </c>
      <c r="C1266" t="s">
        <v>1673</v>
      </c>
    </row>
    <row r="1267" spans="1:3" x14ac:dyDescent="0.3">
      <c r="A1267" s="426">
        <v>41641</v>
      </c>
      <c r="B1267">
        <v>805.03</v>
      </c>
      <c r="C1267" t="s">
        <v>1674</v>
      </c>
    </row>
    <row r="1268" spans="1:3" x14ac:dyDescent="0.3">
      <c r="A1268" s="426">
        <v>41642</v>
      </c>
      <c r="B1268">
        <v>799.95</v>
      </c>
      <c r="C1268" t="s">
        <v>1675</v>
      </c>
    </row>
    <row r="1269" spans="1:3" x14ac:dyDescent="0.3">
      <c r="A1269" s="426">
        <v>41643</v>
      </c>
      <c r="B1269">
        <v>848.13</v>
      </c>
      <c r="C1269" t="s">
        <v>1676</v>
      </c>
    </row>
    <row r="1270" spans="1:3" x14ac:dyDescent="0.3">
      <c r="A1270" s="426">
        <v>41644</v>
      </c>
      <c r="B1270">
        <v>972.99</v>
      </c>
      <c r="C1270" t="s">
        <v>1677</v>
      </c>
    </row>
    <row r="1271" spans="1:3" x14ac:dyDescent="0.3">
      <c r="A1271" s="426">
        <v>41645</v>
      </c>
      <c r="B1271">
        <v>916.41</v>
      </c>
      <c r="C1271" t="s">
        <v>1678</v>
      </c>
    </row>
    <row r="1272" spans="1:3" x14ac:dyDescent="0.3">
      <c r="A1272" s="426">
        <v>41646</v>
      </c>
      <c r="B1272">
        <v>843.64</v>
      </c>
      <c r="C1272" t="s">
        <v>1679</v>
      </c>
    </row>
    <row r="1273" spans="1:3" x14ac:dyDescent="0.3">
      <c r="A1273" s="426">
        <v>41647</v>
      </c>
      <c r="B1273">
        <v>828.06</v>
      </c>
      <c r="C1273" t="s">
        <v>1680</v>
      </c>
    </row>
    <row r="1274" spans="1:3" x14ac:dyDescent="0.3">
      <c r="A1274" s="426">
        <v>41648</v>
      </c>
      <c r="B1274">
        <v>832.53</v>
      </c>
      <c r="C1274" t="s">
        <v>1681</v>
      </c>
    </row>
    <row r="1275" spans="1:3" x14ac:dyDescent="0.3">
      <c r="A1275" s="426">
        <v>41649</v>
      </c>
      <c r="B1275">
        <v>900.84</v>
      </c>
      <c r="C1275" t="s">
        <v>1682</v>
      </c>
    </row>
    <row r="1276" spans="1:3" x14ac:dyDescent="0.3">
      <c r="A1276" s="426">
        <v>41650</v>
      </c>
      <c r="B1276">
        <v>858.47</v>
      </c>
      <c r="C1276" t="s">
        <v>1683</v>
      </c>
    </row>
    <row r="1277" spans="1:3" x14ac:dyDescent="0.3">
      <c r="A1277" s="426">
        <v>41651</v>
      </c>
      <c r="B1277">
        <v>814.87</v>
      </c>
      <c r="C1277" t="s">
        <v>1684</v>
      </c>
    </row>
    <row r="1278" spans="1:3" x14ac:dyDescent="0.3">
      <c r="A1278" s="426">
        <v>41652</v>
      </c>
      <c r="B1278">
        <v>834.27</v>
      </c>
      <c r="C1278" t="s">
        <v>1685</v>
      </c>
    </row>
    <row r="1279" spans="1:3" x14ac:dyDescent="0.3">
      <c r="A1279" s="426">
        <v>41653</v>
      </c>
      <c r="B1279">
        <v>828.69</v>
      </c>
      <c r="C1279" t="s">
        <v>1686</v>
      </c>
    </row>
    <row r="1280" spans="1:3" x14ac:dyDescent="0.3">
      <c r="A1280" s="426">
        <v>41654</v>
      </c>
      <c r="B1280">
        <v>852.3</v>
      </c>
      <c r="C1280" t="s">
        <v>1687</v>
      </c>
    </row>
    <row r="1281" spans="1:3" x14ac:dyDescent="0.3">
      <c r="A1281" s="426">
        <v>41655</v>
      </c>
      <c r="B1281">
        <v>826.02</v>
      </c>
      <c r="C1281" t="s">
        <v>1688</v>
      </c>
    </row>
    <row r="1282" spans="1:3" x14ac:dyDescent="0.3">
      <c r="A1282" s="426">
        <v>41656</v>
      </c>
      <c r="B1282">
        <v>805.12</v>
      </c>
      <c r="C1282" t="s">
        <v>1689</v>
      </c>
    </row>
    <row r="1283" spans="1:3" x14ac:dyDescent="0.3">
      <c r="A1283" s="426">
        <v>41657</v>
      </c>
      <c r="B1283">
        <v>815.69</v>
      </c>
      <c r="C1283" t="s">
        <v>1690</v>
      </c>
    </row>
    <row r="1284" spans="1:3" x14ac:dyDescent="0.3">
      <c r="A1284" s="426">
        <v>41658</v>
      </c>
      <c r="B1284">
        <v>848.15</v>
      </c>
      <c r="C1284" t="s">
        <v>1691</v>
      </c>
    </row>
    <row r="1285" spans="1:3" x14ac:dyDescent="0.3">
      <c r="A1285" s="426">
        <v>41659</v>
      </c>
      <c r="B1285">
        <v>847.32</v>
      </c>
      <c r="C1285" t="s">
        <v>1692</v>
      </c>
    </row>
    <row r="1286" spans="1:3" x14ac:dyDescent="0.3">
      <c r="A1286" s="426">
        <v>41660</v>
      </c>
      <c r="B1286">
        <v>841.72</v>
      </c>
      <c r="C1286" t="s">
        <v>1693</v>
      </c>
    </row>
    <row r="1287" spans="1:3" x14ac:dyDescent="0.3">
      <c r="A1287" s="426">
        <v>41661</v>
      </c>
      <c r="B1287">
        <v>827.27</v>
      </c>
      <c r="C1287" t="s">
        <v>1694</v>
      </c>
    </row>
    <row r="1288" spans="1:3" x14ac:dyDescent="0.3">
      <c r="A1288" s="426">
        <v>41662</v>
      </c>
      <c r="B1288">
        <v>817.41</v>
      </c>
      <c r="C1288" t="s">
        <v>1695</v>
      </c>
    </row>
    <row r="1289" spans="1:3" x14ac:dyDescent="0.3">
      <c r="A1289" s="426">
        <v>41663</v>
      </c>
      <c r="B1289">
        <v>786.34</v>
      </c>
      <c r="C1289" t="s">
        <v>1696</v>
      </c>
    </row>
    <row r="1290" spans="1:3" x14ac:dyDescent="0.3">
      <c r="A1290" s="426">
        <v>41664</v>
      </c>
      <c r="B1290">
        <v>819.28</v>
      </c>
      <c r="C1290" t="s">
        <v>1697</v>
      </c>
    </row>
    <row r="1291" spans="1:3" x14ac:dyDescent="0.3">
      <c r="A1291" s="426">
        <v>41665</v>
      </c>
      <c r="B1291">
        <v>848.67</v>
      </c>
      <c r="C1291" t="s">
        <v>1698</v>
      </c>
    </row>
    <row r="1292" spans="1:3" x14ac:dyDescent="0.3">
      <c r="A1292" s="426">
        <v>41666</v>
      </c>
      <c r="B1292">
        <v>773.67</v>
      </c>
      <c r="C1292" t="s">
        <v>1699</v>
      </c>
    </row>
    <row r="1293" spans="1:3" x14ac:dyDescent="0.3">
      <c r="A1293" s="426">
        <v>41667</v>
      </c>
      <c r="B1293">
        <v>817.38</v>
      </c>
      <c r="C1293" t="s">
        <v>1700</v>
      </c>
    </row>
    <row r="1294" spans="1:3" x14ac:dyDescent="0.3">
      <c r="A1294" s="426">
        <v>41668</v>
      </c>
      <c r="B1294">
        <v>828.76</v>
      </c>
      <c r="C1294" t="s">
        <v>1701</v>
      </c>
    </row>
    <row r="1295" spans="1:3" x14ac:dyDescent="0.3">
      <c r="A1295" s="426">
        <v>41669</v>
      </c>
      <c r="B1295">
        <v>808.47</v>
      </c>
      <c r="C1295" t="s">
        <v>1702</v>
      </c>
    </row>
    <row r="1296" spans="1:3" x14ac:dyDescent="0.3">
      <c r="A1296" s="426">
        <v>41670</v>
      </c>
      <c r="B1296">
        <v>827.63</v>
      </c>
      <c r="C1296" t="s">
        <v>1703</v>
      </c>
    </row>
    <row r="1297" spans="1:3" x14ac:dyDescent="0.3">
      <c r="A1297" s="426">
        <v>41671</v>
      </c>
      <c r="B1297">
        <v>836.57</v>
      </c>
      <c r="C1297" t="s">
        <v>1704</v>
      </c>
    </row>
    <row r="1298" spans="1:3" x14ac:dyDescent="0.3">
      <c r="A1298" s="426">
        <v>41672</v>
      </c>
      <c r="B1298">
        <v>827.39</v>
      </c>
      <c r="C1298" t="s">
        <v>1705</v>
      </c>
    </row>
    <row r="1299" spans="1:3" x14ac:dyDescent="0.3">
      <c r="A1299" s="426">
        <v>41673</v>
      </c>
      <c r="B1299">
        <v>825.43</v>
      </c>
      <c r="C1299" t="s">
        <v>1706</v>
      </c>
    </row>
    <row r="1300" spans="1:3" x14ac:dyDescent="0.3">
      <c r="A1300" s="426">
        <v>41674</v>
      </c>
      <c r="B1300">
        <v>830.15</v>
      </c>
      <c r="C1300" t="s">
        <v>1707</v>
      </c>
    </row>
    <row r="1301" spans="1:3" x14ac:dyDescent="0.3">
      <c r="A1301" s="426">
        <v>41675</v>
      </c>
      <c r="B1301">
        <v>819.94</v>
      </c>
      <c r="C1301" t="s">
        <v>1708</v>
      </c>
    </row>
    <row r="1302" spans="1:3" x14ac:dyDescent="0.3">
      <c r="A1302" s="426">
        <v>41676</v>
      </c>
      <c r="B1302">
        <v>783.72</v>
      </c>
      <c r="C1302" t="s">
        <v>1709</v>
      </c>
    </row>
    <row r="1303" spans="1:3" x14ac:dyDescent="0.3">
      <c r="A1303" s="426">
        <v>41677</v>
      </c>
      <c r="B1303">
        <v>724.48</v>
      </c>
      <c r="C1303" t="s">
        <v>1710</v>
      </c>
    </row>
    <row r="1304" spans="1:3" x14ac:dyDescent="0.3">
      <c r="A1304" s="426">
        <v>41678</v>
      </c>
      <c r="B1304">
        <v>679.63</v>
      </c>
      <c r="C1304" t="s">
        <v>1711</v>
      </c>
    </row>
    <row r="1305" spans="1:3" x14ac:dyDescent="0.3">
      <c r="A1305" s="426">
        <v>41679</v>
      </c>
      <c r="B1305">
        <v>688.47</v>
      </c>
      <c r="C1305" t="s">
        <v>1712</v>
      </c>
    </row>
    <row r="1306" spans="1:3" x14ac:dyDescent="0.3">
      <c r="A1306" s="426">
        <v>41680</v>
      </c>
      <c r="B1306">
        <v>678.52</v>
      </c>
      <c r="C1306" t="s">
        <v>1713</v>
      </c>
    </row>
    <row r="1307" spans="1:3" x14ac:dyDescent="0.3">
      <c r="A1307" s="426">
        <v>41681</v>
      </c>
      <c r="B1307">
        <v>669.5</v>
      </c>
      <c r="C1307" t="s">
        <v>1714</v>
      </c>
    </row>
    <row r="1308" spans="1:3" x14ac:dyDescent="0.3">
      <c r="A1308" s="426">
        <v>41682</v>
      </c>
      <c r="B1308">
        <v>659.68</v>
      </c>
      <c r="C1308" t="s">
        <v>1715</v>
      </c>
    </row>
    <row r="1309" spans="1:3" x14ac:dyDescent="0.3">
      <c r="A1309" s="426">
        <v>41683</v>
      </c>
      <c r="B1309">
        <v>616.04999999999995</v>
      </c>
      <c r="C1309" t="s">
        <v>1716</v>
      </c>
    </row>
    <row r="1310" spans="1:3" x14ac:dyDescent="0.3">
      <c r="A1310" s="426">
        <v>41684</v>
      </c>
      <c r="B1310">
        <v>664.13</v>
      </c>
      <c r="C1310" t="s">
        <v>1717</v>
      </c>
    </row>
    <row r="1311" spans="1:3" x14ac:dyDescent="0.3">
      <c r="A1311" s="426">
        <v>41685</v>
      </c>
      <c r="B1311">
        <v>653.41999999999996</v>
      </c>
      <c r="C1311" t="s">
        <v>1718</v>
      </c>
    </row>
    <row r="1312" spans="1:3" x14ac:dyDescent="0.3">
      <c r="A1312" s="426">
        <v>41686</v>
      </c>
      <c r="B1312">
        <v>618.05999999999995</v>
      </c>
      <c r="C1312" t="s">
        <v>1719</v>
      </c>
    </row>
    <row r="1313" spans="1:3" x14ac:dyDescent="0.3">
      <c r="A1313" s="426">
        <v>41687</v>
      </c>
      <c r="B1313">
        <v>630.83000000000004</v>
      </c>
      <c r="C1313" t="s">
        <v>1720</v>
      </c>
    </row>
    <row r="1314" spans="1:3" x14ac:dyDescent="0.3">
      <c r="A1314" s="426">
        <v>41688</v>
      </c>
      <c r="B1314">
        <v>627.85</v>
      </c>
      <c r="C1314" t="s">
        <v>1721</v>
      </c>
    </row>
    <row r="1315" spans="1:3" x14ac:dyDescent="0.3">
      <c r="A1315" s="426">
        <v>41689</v>
      </c>
      <c r="B1315">
        <v>625.52</v>
      </c>
      <c r="C1315" t="s">
        <v>1722</v>
      </c>
    </row>
    <row r="1316" spans="1:3" x14ac:dyDescent="0.3">
      <c r="A1316" s="426">
        <v>41690</v>
      </c>
      <c r="B1316">
        <v>563.92999999999995</v>
      </c>
      <c r="C1316" t="s">
        <v>1723</v>
      </c>
    </row>
    <row r="1317" spans="1:3" x14ac:dyDescent="0.3">
      <c r="A1317" s="426">
        <v>41691</v>
      </c>
      <c r="B1317">
        <v>573.37</v>
      </c>
      <c r="C1317" t="s">
        <v>1724</v>
      </c>
    </row>
    <row r="1318" spans="1:3" x14ac:dyDescent="0.3">
      <c r="A1318" s="426">
        <v>41692</v>
      </c>
      <c r="B1318">
        <v>600.87</v>
      </c>
      <c r="C1318" t="s">
        <v>1725</v>
      </c>
    </row>
    <row r="1319" spans="1:3" x14ac:dyDescent="0.3">
      <c r="A1319" s="426">
        <v>41693</v>
      </c>
      <c r="B1319">
        <v>612.29</v>
      </c>
      <c r="C1319" t="s">
        <v>1726</v>
      </c>
    </row>
    <row r="1320" spans="1:3" x14ac:dyDescent="0.3">
      <c r="A1320" s="426">
        <v>41694</v>
      </c>
      <c r="B1320">
        <v>552.41999999999996</v>
      </c>
      <c r="C1320" t="s">
        <v>1727</v>
      </c>
    </row>
    <row r="1321" spans="1:3" x14ac:dyDescent="0.3">
      <c r="A1321" s="426">
        <v>41695</v>
      </c>
      <c r="B1321">
        <v>536.13</v>
      </c>
      <c r="C1321" t="s">
        <v>1728</v>
      </c>
    </row>
    <row r="1322" spans="1:3" x14ac:dyDescent="0.3">
      <c r="A1322" s="426">
        <v>41696</v>
      </c>
      <c r="B1322">
        <v>584.5</v>
      </c>
      <c r="C1322" t="s">
        <v>1729</v>
      </c>
    </row>
    <row r="1323" spans="1:3" x14ac:dyDescent="0.3">
      <c r="A1323" s="426">
        <v>41697</v>
      </c>
      <c r="B1323">
        <v>581.78</v>
      </c>
      <c r="C1323" t="s">
        <v>1730</v>
      </c>
    </row>
    <row r="1324" spans="1:3" x14ac:dyDescent="0.3">
      <c r="A1324" s="426">
        <v>41698</v>
      </c>
      <c r="B1324">
        <v>552.85</v>
      </c>
      <c r="C1324" t="s">
        <v>1731</v>
      </c>
    </row>
    <row r="1325" spans="1:3" x14ac:dyDescent="0.3">
      <c r="A1325" s="426">
        <v>41699</v>
      </c>
      <c r="B1325">
        <v>567.1</v>
      </c>
      <c r="C1325" t="s">
        <v>1732</v>
      </c>
    </row>
    <row r="1326" spans="1:3" x14ac:dyDescent="0.3">
      <c r="A1326" s="426">
        <v>41700</v>
      </c>
      <c r="B1326">
        <v>557.22</v>
      </c>
      <c r="C1326" t="s">
        <v>1733</v>
      </c>
    </row>
    <row r="1327" spans="1:3" x14ac:dyDescent="0.3">
      <c r="A1327" s="426">
        <v>41701</v>
      </c>
      <c r="B1327">
        <v>661.22</v>
      </c>
      <c r="C1327" t="s">
        <v>1734</v>
      </c>
    </row>
    <row r="1328" spans="1:3" x14ac:dyDescent="0.3">
      <c r="A1328" s="426">
        <v>41702</v>
      </c>
      <c r="B1328">
        <v>667.51</v>
      </c>
      <c r="C1328" t="s">
        <v>1735</v>
      </c>
    </row>
    <row r="1329" spans="1:3" x14ac:dyDescent="0.3">
      <c r="A1329" s="426">
        <v>41703</v>
      </c>
      <c r="B1329">
        <v>662.57</v>
      </c>
      <c r="C1329" t="s">
        <v>1736</v>
      </c>
    </row>
    <row r="1330" spans="1:3" x14ac:dyDescent="0.3">
      <c r="A1330" s="426">
        <v>41704</v>
      </c>
      <c r="B1330">
        <v>659.12</v>
      </c>
      <c r="C1330" t="s">
        <v>1737</v>
      </c>
    </row>
    <row r="1331" spans="1:3" x14ac:dyDescent="0.3">
      <c r="A1331" s="426">
        <v>41705</v>
      </c>
      <c r="B1331">
        <v>629.78</v>
      </c>
      <c r="C1331" t="s">
        <v>1738</v>
      </c>
    </row>
    <row r="1332" spans="1:3" x14ac:dyDescent="0.3">
      <c r="A1332" s="426">
        <v>41706</v>
      </c>
      <c r="B1332">
        <v>618.22</v>
      </c>
      <c r="C1332" t="s">
        <v>1739</v>
      </c>
    </row>
    <row r="1333" spans="1:3" x14ac:dyDescent="0.3">
      <c r="A1333" s="426">
        <v>41707</v>
      </c>
      <c r="B1333">
        <v>637.41</v>
      </c>
      <c r="C1333" t="s">
        <v>1740</v>
      </c>
    </row>
    <row r="1334" spans="1:3" x14ac:dyDescent="0.3">
      <c r="A1334" s="426">
        <v>41708</v>
      </c>
      <c r="B1334">
        <v>626.79</v>
      </c>
      <c r="C1334" t="s">
        <v>1741</v>
      </c>
    </row>
    <row r="1335" spans="1:3" x14ac:dyDescent="0.3">
      <c r="A1335" s="426">
        <v>41709</v>
      </c>
      <c r="B1335">
        <v>632.15</v>
      </c>
      <c r="C1335" t="s">
        <v>1742</v>
      </c>
    </row>
    <row r="1336" spans="1:3" x14ac:dyDescent="0.3">
      <c r="A1336" s="426">
        <v>41710</v>
      </c>
      <c r="B1336">
        <v>632.58000000000004</v>
      </c>
      <c r="C1336" t="s">
        <v>1743</v>
      </c>
    </row>
    <row r="1337" spans="1:3" x14ac:dyDescent="0.3">
      <c r="A1337" s="426">
        <v>41711</v>
      </c>
      <c r="B1337">
        <v>638.13</v>
      </c>
      <c r="C1337" t="s">
        <v>1744</v>
      </c>
    </row>
    <row r="1338" spans="1:3" x14ac:dyDescent="0.3">
      <c r="A1338" s="426">
        <v>41712</v>
      </c>
      <c r="B1338">
        <v>628.6</v>
      </c>
      <c r="C1338" t="s">
        <v>1745</v>
      </c>
    </row>
    <row r="1339" spans="1:3" x14ac:dyDescent="0.3">
      <c r="A1339" s="426">
        <v>41713</v>
      </c>
      <c r="B1339">
        <v>635.16999999999996</v>
      </c>
      <c r="C1339" t="s">
        <v>1746</v>
      </c>
    </row>
    <row r="1340" spans="1:3" x14ac:dyDescent="0.3">
      <c r="A1340" s="426">
        <v>41714</v>
      </c>
      <c r="B1340">
        <v>630.47</v>
      </c>
      <c r="C1340" t="s">
        <v>1747</v>
      </c>
    </row>
    <row r="1341" spans="1:3" x14ac:dyDescent="0.3">
      <c r="A1341" s="426">
        <v>41715</v>
      </c>
      <c r="B1341">
        <v>622.15</v>
      </c>
      <c r="C1341" t="s">
        <v>1748</v>
      </c>
    </row>
    <row r="1342" spans="1:3" x14ac:dyDescent="0.3">
      <c r="A1342" s="426">
        <v>41716</v>
      </c>
      <c r="B1342">
        <v>614.29999999999995</v>
      </c>
      <c r="C1342" t="s">
        <v>1749</v>
      </c>
    </row>
    <row r="1343" spans="1:3" x14ac:dyDescent="0.3">
      <c r="A1343" s="426">
        <v>41717</v>
      </c>
      <c r="B1343">
        <v>610.58000000000004</v>
      </c>
      <c r="C1343" t="s">
        <v>1750</v>
      </c>
    </row>
    <row r="1344" spans="1:3" x14ac:dyDescent="0.3">
      <c r="A1344" s="426">
        <v>41718</v>
      </c>
      <c r="B1344">
        <v>589.69000000000005</v>
      </c>
      <c r="C1344" t="s">
        <v>1751</v>
      </c>
    </row>
    <row r="1345" spans="1:3" x14ac:dyDescent="0.3">
      <c r="A1345" s="426">
        <v>41719</v>
      </c>
      <c r="B1345">
        <v>582.89</v>
      </c>
      <c r="C1345" t="s">
        <v>1752</v>
      </c>
    </row>
    <row r="1346" spans="1:3" x14ac:dyDescent="0.3">
      <c r="A1346" s="426">
        <v>41720</v>
      </c>
      <c r="B1346">
        <v>565.35</v>
      </c>
      <c r="C1346" t="s">
        <v>1753</v>
      </c>
    </row>
    <row r="1347" spans="1:3" x14ac:dyDescent="0.3">
      <c r="A1347" s="426">
        <v>41721</v>
      </c>
      <c r="B1347">
        <v>565.74</v>
      </c>
      <c r="C1347" t="s">
        <v>1754</v>
      </c>
    </row>
    <row r="1348" spans="1:3" x14ac:dyDescent="0.3">
      <c r="A1348" s="426">
        <v>41722</v>
      </c>
      <c r="B1348">
        <v>564.58000000000004</v>
      </c>
      <c r="C1348" t="s">
        <v>1755</v>
      </c>
    </row>
    <row r="1349" spans="1:3" x14ac:dyDescent="0.3">
      <c r="A1349" s="426">
        <v>41723</v>
      </c>
      <c r="B1349">
        <v>578.71</v>
      </c>
      <c r="C1349" t="s">
        <v>1756</v>
      </c>
    </row>
    <row r="1350" spans="1:3" x14ac:dyDescent="0.3">
      <c r="A1350" s="426">
        <v>41724</v>
      </c>
      <c r="B1350">
        <v>580.96</v>
      </c>
      <c r="C1350" t="s">
        <v>1757</v>
      </c>
    </row>
    <row r="1351" spans="1:3" x14ac:dyDescent="0.3">
      <c r="A1351" s="426">
        <v>41725</v>
      </c>
      <c r="B1351">
        <v>542.79999999999995</v>
      </c>
      <c r="C1351" t="s">
        <v>1758</v>
      </c>
    </row>
    <row r="1352" spans="1:3" x14ac:dyDescent="0.3">
      <c r="A1352" s="426">
        <v>41726</v>
      </c>
      <c r="B1352">
        <v>502.51</v>
      </c>
      <c r="C1352" t="s">
        <v>1759</v>
      </c>
    </row>
    <row r="1353" spans="1:3" x14ac:dyDescent="0.3">
      <c r="A1353" s="426">
        <v>41727</v>
      </c>
      <c r="B1353">
        <v>498.63</v>
      </c>
      <c r="C1353" t="s">
        <v>1760</v>
      </c>
    </row>
    <row r="1354" spans="1:3" x14ac:dyDescent="0.3">
      <c r="A1354" s="426">
        <v>41728</v>
      </c>
      <c r="B1354">
        <v>471.35</v>
      </c>
      <c r="C1354" t="s">
        <v>1761</v>
      </c>
    </row>
    <row r="1355" spans="1:3" x14ac:dyDescent="0.3">
      <c r="A1355" s="426">
        <v>41729</v>
      </c>
      <c r="B1355">
        <v>458.66</v>
      </c>
      <c r="C1355" t="s">
        <v>1762</v>
      </c>
    </row>
    <row r="1356" spans="1:3" x14ac:dyDescent="0.3">
      <c r="A1356" s="426">
        <v>41730</v>
      </c>
      <c r="B1356">
        <v>462.36</v>
      </c>
      <c r="C1356" t="s">
        <v>1763</v>
      </c>
    </row>
    <row r="1357" spans="1:3" x14ac:dyDescent="0.3">
      <c r="A1357" s="426">
        <v>41731</v>
      </c>
      <c r="B1357">
        <v>466.43</v>
      </c>
      <c r="C1357" t="s">
        <v>1764</v>
      </c>
    </row>
    <row r="1358" spans="1:3" x14ac:dyDescent="0.3">
      <c r="A1358" s="426">
        <v>41732</v>
      </c>
      <c r="B1358">
        <v>433.21</v>
      </c>
      <c r="C1358" t="s">
        <v>1765</v>
      </c>
    </row>
    <row r="1359" spans="1:3" x14ac:dyDescent="0.3">
      <c r="A1359" s="426">
        <v>41733</v>
      </c>
      <c r="B1359">
        <v>442.72</v>
      </c>
      <c r="C1359" t="s">
        <v>1766</v>
      </c>
    </row>
    <row r="1360" spans="1:3" x14ac:dyDescent="0.3">
      <c r="A1360" s="426">
        <v>41734</v>
      </c>
      <c r="B1360">
        <v>451.66</v>
      </c>
      <c r="C1360" t="s">
        <v>1767</v>
      </c>
    </row>
    <row r="1361" spans="1:3" x14ac:dyDescent="0.3">
      <c r="A1361" s="426">
        <v>41735</v>
      </c>
      <c r="B1361">
        <v>459.94</v>
      </c>
      <c r="C1361" t="s">
        <v>1768</v>
      </c>
    </row>
    <row r="1362" spans="1:3" x14ac:dyDescent="0.3">
      <c r="A1362" s="426">
        <v>41736</v>
      </c>
      <c r="B1362">
        <v>455.07</v>
      </c>
      <c r="C1362" t="s">
        <v>1769</v>
      </c>
    </row>
    <row r="1363" spans="1:3" x14ac:dyDescent="0.3">
      <c r="A1363" s="426">
        <v>41737</v>
      </c>
      <c r="B1363">
        <v>450.72</v>
      </c>
      <c r="C1363" t="s">
        <v>1770</v>
      </c>
    </row>
    <row r="1364" spans="1:3" x14ac:dyDescent="0.3">
      <c r="A1364" s="426">
        <v>41738</v>
      </c>
      <c r="B1364">
        <v>450.03</v>
      </c>
      <c r="C1364" t="s">
        <v>1771</v>
      </c>
    </row>
    <row r="1365" spans="1:3" x14ac:dyDescent="0.3">
      <c r="A1365" s="426">
        <v>41739</v>
      </c>
      <c r="B1365">
        <v>408.83</v>
      </c>
      <c r="C1365" t="s">
        <v>1772</v>
      </c>
    </row>
    <row r="1366" spans="1:3" x14ac:dyDescent="0.3">
      <c r="A1366" s="426">
        <v>41740</v>
      </c>
      <c r="B1366">
        <v>403.75</v>
      </c>
      <c r="C1366" t="s">
        <v>1773</v>
      </c>
    </row>
    <row r="1367" spans="1:3" x14ac:dyDescent="0.3">
      <c r="A1367" s="426">
        <v>41741</v>
      </c>
      <c r="B1367">
        <v>425.91</v>
      </c>
      <c r="C1367" t="s">
        <v>1774</v>
      </c>
    </row>
    <row r="1368" spans="1:3" x14ac:dyDescent="0.3">
      <c r="A1368" s="426">
        <v>41742</v>
      </c>
      <c r="B1368">
        <v>416.28</v>
      </c>
      <c r="C1368" t="s">
        <v>1775</v>
      </c>
    </row>
    <row r="1369" spans="1:3" x14ac:dyDescent="0.3">
      <c r="A1369" s="426">
        <v>41743</v>
      </c>
      <c r="B1369">
        <v>445.87</v>
      </c>
      <c r="C1369" t="s">
        <v>1776</v>
      </c>
    </row>
    <row r="1370" spans="1:3" x14ac:dyDescent="0.3">
      <c r="A1370" s="426">
        <v>41744</v>
      </c>
      <c r="B1370">
        <v>487.35</v>
      </c>
      <c r="C1370" t="s">
        <v>1777</v>
      </c>
    </row>
    <row r="1371" spans="1:3" x14ac:dyDescent="0.3">
      <c r="A1371" s="426">
        <v>41745</v>
      </c>
      <c r="B1371">
        <v>516.28</v>
      </c>
      <c r="C1371" t="s">
        <v>1778</v>
      </c>
    </row>
    <row r="1372" spans="1:3" x14ac:dyDescent="0.3">
      <c r="A1372" s="426">
        <v>41746</v>
      </c>
      <c r="B1372">
        <v>505.38</v>
      </c>
      <c r="C1372" t="s">
        <v>1779</v>
      </c>
    </row>
    <row r="1373" spans="1:3" x14ac:dyDescent="0.3">
      <c r="A1373" s="426">
        <v>41747</v>
      </c>
      <c r="B1373">
        <v>485.89</v>
      </c>
      <c r="C1373" t="s">
        <v>1780</v>
      </c>
    </row>
    <row r="1374" spans="1:3" x14ac:dyDescent="0.3">
      <c r="A1374" s="426">
        <v>41748</v>
      </c>
      <c r="B1374">
        <v>491.3</v>
      </c>
      <c r="C1374" t="s">
        <v>1781</v>
      </c>
    </row>
    <row r="1375" spans="1:3" x14ac:dyDescent="0.3">
      <c r="A1375" s="426">
        <v>41749</v>
      </c>
      <c r="B1375">
        <v>502.08</v>
      </c>
      <c r="C1375" t="s">
        <v>1782</v>
      </c>
    </row>
    <row r="1376" spans="1:3" x14ac:dyDescent="0.3">
      <c r="A1376" s="426">
        <v>41750</v>
      </c>
      <c r="B1376">
        <v>500.48</v>
      </c>
      <c r="C1376" t="s">
        <v>1783</v>
      </c>
    </row>
    <row r="1377" spans="1:3" x14ac:dyDescent="0.3">
      <c r="A1377" s="426">
        <v>41751</v>
      </c>
      <c r="B1377">
        <v>494.76</v>
      </c>
      <c r="C1377" t="s">
        <v>1784</v>
      </c>
    </row>
    <row r="1378" spans="1:3" x14ac:dyDescent="0.3">
      <c r="A1378" s="426">
        <v>41752</v>
      </c>
      <c r="B1378">
        <v>490.11</v>
      </c>
      <c r="C1378" t="s">
        <v>1785</v>
      </c>
    </row>
    <row r="1379" spans="1:3" x14ac:dyDescent="0.3">
      <c r="A1379" s="426">
        <v>41753</v>
      </c>
      <c r="B1379">
        <v>490.35</v>
      </c>
      <c r="C1379" t="s">
        <v>1786</v>
      </c>
    </row>
    <row r="1380" spans="1:3" x14ac:dyDescent="0.3">
      <c r="A1380" s="426">
        <v>41754</v>
      </c>
      <c r="B1380">
        <v>463.39</v>
      </c>
      <c r="C1380" t="s">
        <v>1787</v>
      </c>
    </row>
    <row r="1381" spans="1:3" x14ac:dyDescent="0.3">
      <c r="A1381" s="426">
        <v>41755</v>
      </c>
      <c r="B1381">
        <v>456.28</v>
      </c>
      <c r="C1381" t="s">
        <v>1788</v>
      </c>
    </row>
    <row r="1382" spans="1:3" x14ac:dyDescent="0.3">
      <c r="A1382" s="426">
        <v>41756</v>
      </c>
      <c r="B1382">
        <v>452.04</v>
      </c>
      <c r="C1382" t="s">
        <v>1789</v>
      </c>
    </row>
    <row r="1383" spans="1:3" x14ac:dyDescent="0.3">
      <c r="A1383" s="426">
        <v>41757</v>
      </c>
      <c r="B1383">
        <v>436.49</v>
      </c>
      <c r="C1383" t="s">
        <v>1790</v>
      </c>
    </row>
    <row r="1384" spans="1:3" x14ac:dyDescent="0.3">
      <c r="A1384" s="426">
        <v>41758</v>
      </c>
      <c r="B1384">
        <v>444.28</v>
      </c>
      <c r="C1384" t="s">
        <v>1791</v>
      </c>
    </row>
    <row r="1385" spans="1:3" x14ac:dyDescent="0.3">
      <c r="A1385" s="426">
        <v>41759</v>
      </c>
      <c r="B1385">
        <v>445.96</v>
      </c>
      <c r="C1385" t="s">
        <v>1792</v>
      </c>
    </row>
    <row r="1386" spans="1:3" x14ac:dyDescent="0.3">
      <c r="A1386" s="426">
        <v>41760</v>
      </c>
      <c r="B1386">
        <v>454.31</v>
      </c>
      <c r="C1386" t="s">
        <v>1793</v>
      </c>
    </row>
    <row r="1387" spans="1:3" x14ac:dyDescent="0.3">
      <c r="A1387" s="426">
        <v>41761</v>
      </c>
      <c r="B1387">
        <v>449.47</v>
      </c>
      <c r="C1387" t="s">
        <v>1794</v>
      </c>
    </row>
    <row r="1388" spans="1:3" x14ac:dyDescent="0.3">
      <c r="A1388" s="426">
        <v>41762</v>
      </c>
      <c r="B1388">
        <v>441.03</v>
      </c>
      <c r="C1388" t="s">
        <v>1795</v>
      </c>
    </row>
    <row r="1389" spans="1:3" x14ac:dyDescent="0.3">
      <c r="A1389" s="426">
        <v>41763</v>
      </c>
      <c r="B1389">
        <v>435.07</v>
      </c>
      <c r="C1389" t="s">
        <v>1796</v>
      </c>
    </row>
    <row r="1390" spans="1:3" x14ac:dyDescent="0.3">
      <c r="A1390" s="426">
        <v>41764</v>
      </c>
      <c r="B1390">
        <v>433.22</v>
      </c>
      <c r="C1390" t="s">
        <v>1797</v>
      </c>
    </row>
    <row r="1391" spans="1:3" x14ac:dyDescent="0.3">
      <c r="A1391" s="426">
        <v>41765</v>
      </c>
      <c r="B1391">
        <v>429.82</v>
      </c>
      <c r="C1391" t="s">
        <v>1798</v>
      </c>
    </row>
    <row r="1392" spans="1:3" x14ac:dyDescent="0.3">
      <c r="A1392" s="426">
        <v>41766</v>
      </c>
      <c r="B1392">
        <v>436.61</v>
      </c>
      <c r="C1392" t="s">
        <v>1799</v>
      </c>
    </row>
    <row r="1393" spans="1:3" x14ac:dyDescent="0.3">
      <c r="A1393" s="426">
        <v>41767</v>
      </c>
      <c r="B1393">
        <v>443.61</v>
      </c>
      <c r="C1393" t="s">
        <v>1800</v>
      </c>
    </row>
    <row r="1394" spans="1:3" x14ac:dyDescent="0.3">
      <c r="A1394" s="426">
        <v>41768</v>
      </c>
      <c r="B1394">
        <v>447.18</v>
      </c>
      <c r="C1394" t="s">
        <v>1801</v>
      </c>
    </row>
    <row r="1395" spans="1:3" x14ac:dyDescent="0.3">
      <c r="A1395" s="426">
        <v>41769</v>
      </c>
      <c r="B1395">
        <v>451.58</v>
      </c>
      <c r="C1395" t="s">
        <v>1802</v>
      </c>
    </row>
    <row r="1396" spans="1:3" x14ac:dyDescent="0.3">
      <c r="A1396" s="426">
        <v>41770</v>
      </c>
      <c r="B1396">
        <v>444.94</v>
      </c>
      <c r="C1396" t="s">
        <v>1803</v>
      </c>
    </row>
    <row r="1397" spans="1:3" x14ac:dyDescent="0.3">
      <c r="A1397" s="426">
        <v>41771</v>
      </c>
      <c r="B1397">
        <v>440.2</v>
      </c>
      <c r="C1397" t="s">
        <v>1804</v>
      </c>
    </row>
    <row r="1398" spans="1:3" x14ac:dyDescent="0.3">
      <c r="A1398" s="426">
        <v>41772</v>
      </c>
      <c r="B1398">
        <v>440.04</v>
      </c>
      <c r="C1398" t="s">
        <v>1805</v>
      </c>
    </row>
    <row r="1399" spans="1:3" x14ac:dyDescent="0.3">
      <c r="A1399" s="426">
        <v>41773</v>
      </c>
      <c r="B1399">
        <v>443.66</v>
      </c>
      <c r="C1399" t="s">
        <v>1806</v>
      </c>
    </row>
    <row r="1400" spans="1:3" x14ac:dyDescent="0.3">
      <c r="A1400" s="426">
        <v>41774</v>
      </c>
      <c r="B1400">
        <v>447.45</v>
      </c>
      <c r="C1400" t="s">
        <v>1807</v>
      </c>
    </row>
    <row r="1401" spans="1:3" x14ac:dyDescent="0.3">
      <c r="A1401" s="426">
        <v>41775</v>
      </c>
      <c r="B1401">
        <v>448.03</v>
      </c>
      <c r="C1401" t="s">
        <v>1808</v>
      </c>
    </row>
    <row r="1402" spans="1:3" x14ac:dyDescent="0.3">
      <c r="A1402" s="426">
        <v>41776</v>
      </c>
      <c r="B1402">
        <v>449.29</v>
      </c>
      <c r="C1402" t="s">
        <v>1809</v>
      </c>
    </row>
    <row r="1403" spans="1:3" x14ac:dyDescent="0.3">
      <c r="A1403" s="426">
        <v>41777</v>
      </c>
      <c r="B1403">
        <v>447.32</v>
      </c>
      <c r="C1403" t="s">
        <v>1810</v>
      </c>
    </row>
    <row r="1404" spans="1:3" x14ac:dyDescent="0.3">
      <c r="A1404" s="426">
        <v>41778</v>
      </c>
      <c r="B1404">
        <v>445.95</v>
      </c>
      <c r="C1404" t="s">
        <v>1811</v>
      </c>
    </row>
    <row r="1405" spans="1:3" x14ac:dyDescent="0.3">
      <c r="A1405" s="426">
        <v>41779</v>
      </c>
      <c r="B1405">
        <v>464.31</v>
      </c>
      <c r="C1405" t="s">
        <v>1812</v>
      </c>
    </row>
    <row r="1406" spans="1:3" x14ac:dyDescent="0.3">
      <c r="A1406" s="426">
        <v>41780</v>
      </c>
      <c r="B1406">
        <v>491.32</v>
      </c>
      <c r="C1406" t="s">
        <v>1813</v>
      </c>
    </row>
    <row r="1407" spans="1:3" x14ac:dyDescent="0.3">
      <c r="A1407" s="426">
        <v>41781</v>
      </c>
      <c r="B1407">
        <v>508.16</v>
      </c>
      <c r="C1407" t="s">
        <v>1814</v>
      </c>
    </row>
    <row r="1408" spans="1:3" x14ac:dyDescent="0.3">
      <c r="A1408" s="426">
        <v>41782</v>
      </c>
      <c r="B1408">
        <v>528.29</v>
      </c>
      <c r="C1408" t="s">
        <v>1815</v>
      </c>
    </row>
    <row r="1409" spans="1:3" x14ac:dyDescent="0.3">
      <c r="A1409" s="426">
        <v>41783</v>
      </c>
      <c r="B1409">
        <v>520.9</v>
      </c>
      <c r="C1409" t="s">
        <v>1816</v>
      </c>
    </row>
    <row r="1410" spans="1:3" x14ac:dyDescent="0.3">
      <c r="A1410" s="426">
        <v>41784</v>
      </c>
      <c r="B1410">
        <v>559.20000000000005</v>
      </c>
      <c r="C1410" t="s">
        <v>1817</v>
      </c>
    </row>
    <row r="1411" spans="1:3" x14ac:dyDescent="0.3">
      <c r="A1411" s="426">
        <v>41785</v>
      </c>
      <c r="B1411">
        <v>580.22</v>
      </c>
      <c r="C1411" t="s">
        <v>1818</v>
      </c>
    </row>
    <row r="1412" spans="1:3" x14ac:dyDescent="0.3">
      <c r="A1412" s="426">
        <v>41786</v>
      </c>
      <c r="B1412">
        <v>573.97</v>
      </c>
      <c r="C1412" t="s">
        <v>1819</v>
      </c>
    </row>
    <row r="1413" spans="1:3" x14ac:dyDescent="0.3">
      <c r="A1413" s="426">
        <v>41787</v>
      </c>
      <c r="B1413">
        <v>572.21</v>
      </c>
      <c r="C1413" t="s">
        <v>1820</v>
      </c>
    </row>
    <row r="1414" spans="1:3" x14ac:dyDescent="0.3">
      <c r="A1414" s="426">
        <v>41788</v>
      </c>
      <c r="B1414">
        <v>566.65</v>
      </c>
      <c r="C1414" t="s">
        <v>1821</v>
      </c>
    </row>
    <row r="1415" spans="1:3" x14ac:dyDescent="0.3">
      <c r="A1415" s="426">
        <v>41789</v>
      </c>
      <c r="B1415">
        <v>597.16</v>
      </c>
      <c r="C1415" t="s">
        <v>1822</v>
      </c>
    </row>
    <row r="1416" spans="1:3" x14ac:dyDescent="0.3">
      <c r="A1416" s="426">
        <v>41790</v>
      </c>
      <c r="B1416">
        <v>616.80999999999995</v>
      </c>
      <c r="C1416" t="s">
        <v>1823</v>
      </c>
    </row>
    <row r="1417" spans="1:3" x14ac:dyDescent="0.3">
      <c r="A1417" s="426">
        <v>41791</v>
      </c>
      <c r="B1417">
        <v>643.65</v>
      </c>
      <c r="C1417" t="s">
        <v>1824</v>
      </c>
    </row>
    <row r="1418" spans="1:3" x14ac:dyDescent="0.3">
      <c r="A1418" s="426">
        <v>41792</v>
      </c>
      <c r="B1418">
        <v>635.36</v>
      </c>
      <c r="C1418" t="s">
        <v>1825</v>
      </c>
    </row>
    <row r="1419" spans="1:3" x14ac:dyDescent="0.3">
      <c r="A1419" s="426">
        <v>41793</v>
      </c>
      <c r="B1419">
        <v>661.59</v>
      </c>
      <c r="C1419" t="s">
        <v>1826</v>
      </c>
    </row>
    <row r="1420" spans="1:3" x14ac:dyDescent="0.3">
      <c r="A1420" s="426">
        <v>41794</v>
      </c>
      <c r="B1420">
        <v>641.84</v>
      </c>
      <c r="C1420" t="s">
        <v>1827</v>
      </c>
    </row>
    <row r="1421" spans="1:3" x14ac:dyDescent="0.3">
      <c r="A1421" s="426">
        <v>41795</v>
      </c>
      <c r="B1421">
        <v>651.47</v>
      </c>
      <c r="C1421" t="s">
        <v>1828</v>
      </c>
    </row>
    <row r="1422" spans="1:3" x14ac:dyDescent="0.3">
      <c r="A1422" s="426">
        <v>41796</v>
      </c>
      <c r="B1422">
        <v>656.65</v>
      </c>
      <c r="C1422" t="s">
        <v>1829</v>
      </c>
    </row>
    <row r="1423" spans="1:3" x14ac:dyDescent="0.3">
      <c r="A1423" s="426">
        <v>41797</v>
      </c>
      <c r="B1423">
        <v>652.92999999999995</v>
      </c>
      <c r="C1423" t="s">
        <v>1830</v>
      </c>
    </row>
    <row r="1424" spans="1:3" x14ac:dyDescent="0.3">
      <c r="A1424" s="426">
        <v>41798</v>
      </c>
      <c r="B1424">
        <v>656.19</v>
      </c>
      <c r="C1424" t="s">
        <v>1831</v>
      </c>
    </row>
    <row r="1425" spans="1:3" x14ac:dyDescent="0.3">
      <c r="A1425" s="426">
        <v>41799</v>
      </c>
      <c r="B1425">
        <v>650.30999999999995</v>
      </c>
      <c r="C1425" t="s">
        <v>1832</v>
      </c>
    </row>
    <row r="1426" spans="1:3" x14ac:dyDescent="0.3">
      <c r="A1426" s="426">
        <v>41800</v>
      </c>
      <c r="B1426">
        <v>653.45000000000005</v>
      </c>
      <c r="C1426" t="s">
        <v>1833</v>
      </c>
    </row>
    <row r="1427" spans="1:3" x14ac:dyDescent="0.3">
      <c r="A1427" s="426">
        <v>41801</v>
      </c>
      <c r="B1427">
        <v>646.29</v>
      </c>
      <c r="C1427" t="s">
        <v>1834</v>
      </c>
    </row>
    <row r="1428" spans="1:3" x14ac:dyDescent="0.3">
      <c r="A1428" s="426">
        <v>41802</v>
      </c>
      <c r="B1428">
        <v>625.34</v>
      </c>
      <c r="C1428" t="s">
        <v>1835</v>
      </c>
    </row>
    <row r="1429" spans="1:3" x14ac:dyDescent="0.3">
      <c r="A1429" s="426">
        <v>41803</v>
      </c>
      <c r="B1429">
        <v>599.54</v>
      </c>
      <c r="C1429" t="s">
        <v>1836</v>
      </c>
    </row>
    <row r="1430" spans="1:3" x14ac:dyDescent="0.3">
      <c r="A1430" s="426">
        <v>41804</v>
      </c>
      <c r="B1430">
        <v>580.01</v>
      </c>
      <c r="C1430" t="s">
        <v>1837</v>
      </c>
    </row>
    <row r="1431" spans="1:3" x14ac:dyDescent="0.3">
      <c r="A1431" s="426">
        <v>41805</v>
      </c>
      <c r="B1431">
        <v>568.08000000000004</v>
      </c>
      <c r="C1431" t="s">
        <v>1838</v>
      </c>
    </row>
    <row r="1432" spans="1:3" x14ac:dyDescent="0.3">
      <c r="A1432" s="426">
        <v>41806</v>
      </c>
      <c r="B1432">
        <v>597.64</v>
      </c>
      <c r="C1432" t="s">
        <v>1839</v>
      </c>
    </row>
    <row r="1433" spans="1:3" x14ac:dyDescent="0.3">
      <c r="A1433" s="426">
        <v>41807</v>
      </c>
      <c r="B1433">
        <v>599.64</v>
      </c>
      <c r="C1433" t="s">
        <v>1840</v>
      </c>
    </row>
    <row r="1434" spans="1:3" x14ac:dyDescent="0.3">
      <c r="A1434" s="426">
        <v>41808</v>
      </c>
      <c r="B1434">
        <v>610.22</v>
      </c>
      <c r="C1434" t="s">
        <v>1841</v>
      </c>
    </row>
    <row r="1435" spans="1:3" x14ac:dyDescent="0.3">
      <c r="A1435" s="426">
        <v>41809</v>
      </c>
      <c r="B1435">
        <v>606.79</v>
      </c>
      <c r="C1435" t="s">
        <v>1842</v>
      </c>
    </row>
    <row r="1436" spans="1:3" x14ac:dyDescent="0.3">
      <c r="A1436" s="426">
        <v>41810</v>
      </c>
      <c r="B1436">
        <v>593.77</v>
      </c>
      <c r="C1436" t="s">
        <v>1843</v>
      </c>
    </row>
    <row r="1437" spans="1:3" x14ac:dyDescent="0.3">
      <c r="A1437" s="426">
        <v>41811</v>
      </c>
      <c r="B1437">
        <v>594.11</v>
      </c>
      <c r="C1437" t="s">
        <v>1844</v>
      </c>
    </row>
    <row r="1438" spans="1:3" x14ac:dyDescent="0.3">
      <c r="A1438" s="426">
        <v>41812</v>
      </c>
      <c r="B1438">
        <v>601.94000000000005</v>
      </c>
      <c r="C1438" t="s">
        <v>1845</v>
      </c>
    </row>
    <row r="1439" spans="1:3" x14ac:dyDescent="0.3">
      <c r="A1439" s="426">
        <v>41813</v>
      </c>
      <c r="B1439">
        <v>594.15</v>
      </c>
      <c r="C1439" t="s">
        <v>1846</v>
      </c>
    </row>
    <row r="1440" spans="1:3" x14ac:dyDescent="0.3">
      <c r="A1440" s="426">
        <v>41814</v>
      </c>
      <c r="B1440">
        <v>592.05999999999995</v>
      </c>
      <c r="C1440" t="s">
        <v>1847</v>
      </c>
    </row>
    <row r="1441" spans="1:3" x14ac:dyDescent="0.3">
      <c r="A1441" s="426">
        <v>41815</v>
      </c>
      <c r="B1441">
        <v>573.64</v>
      </c>
      <c r="C1441" t="s">
        <v>1848</v>
      </c>
    </row>
    <row r="1442" spans="1:3" x14ac:dyDescent="0.3">
      <c r="A1442" s="426">
        <v>41816</v>
      </c>
      <c r="B1442">
        <v>585.36</v>
      </c>
      <c r="C1442" t="s">
        <v>1849</v>
      </c>
    </row>
    <row r="1443" spans="1:3" x14ac:dyDescent="0.3">
      <c r="A1443" s="426">
        <v>41817</v>
      </c>
      <c r="B1443">
        <v>598.83000000000004</v>
      </c>
      <c r="C1443" t="s">
        <v>1850</v>
      </c>
    </row>
    <row r="1444" spans="1:3" x14ac:dyDescent="0.3">
      <c r="A1444" s="426">
        <v>41818</v>
      </c>
      <c r="B1444">
        <v>599.83000000000004</v>
      </c>
      <c r="C1444" t="s">
        <v>1851</v>
      </c>
    </row>
    <row r="1445" spans="1:3" x14ac:dyDescent="0.3">
      <c r="A1445" s="426">
        <v>41819</v>
      </c>
      <c r="B1445">
        <v>599.38</v>
      </c>
      <c r="C1445" t="s">
        <v>1852</v>
      </c>
    </row>
    <row r="1446" spans="1:3" x14ac:dyDescent="0.3">
      <c r="A1446" s="426">
        <v>41820</v>
      </c>
      <c r="B1446">
        <v>621.19000000000005</v>
      </c>
      <c r="C1446" t="s">
        <v>1853</v>
      </c>
    </row>
    <row r="1447" spans="1:3" x14ac:dyDescent="0.3">
      <c r="A1447" s="426">
        <v>41821</v>
      </c>
      <c r="B1447">
        <v>650.58000000000004</v>
      </c>
      <c r="C1447" t="s">
        <v>1854</v>
      </c>
    </row>
    <row r="1448" spans="1:3" x14ac:dyDescent="0.3">
      <c r="A1448" s="426">
        <v>41822</v>
      </c>
      <c r="B1448">
        <v>646.95000000000005</v>
      </c>
      <c r="C1448" t="s">
        <v>1855</v>
      </c>
    </row>
    <row r="1449" spans="1:3" x14ac:dyDescent="0.3">
      <c r="A1449" s="426">
        <v>41823</v>
      </c>
      <c r="B1449">
        <v>645.57000000000005</v>
      </c>
      <c r="C1449" t="s">
        <v>1856</v>
      </c>
    </row>
    <row r="1450" spans="1:3" x14ac:dyDescent="0.3">
      <c r="A1450" s="426">
        <v>41824</v>
      </c>
      <c r="B1450">
        <v>638.74</v>
      </c>
      <c r="C1450" t="s">
        <v>1857</v>
      </c>
    </row>
    <row r="1451" spans="1:3" x14ac:dyDescent="0.3">
      <c r="A1451" s="426">
        <v>41825</v>
      </c>
      <c r="B1451">
        <v>631.03</v>
      </c>
      <c r="C1451" t="s">
        <v>1858</v>
      </c>
    </row>
    <row r="1452" spans="1:3" x14ac:dyDescent="0.3">
      <c r="A1452" s="426">
        <v>41826</v>
      </c>
      <c r="B1452">
        <v>634.16999999999996</v>
      </c>
      <c r="C1452" t="s">
        <v>1859</v>
      </c>
    </row>
    <row r="1453" spans="1:3" x14ac:dyDescent="0.3">
      <c r="A1453" s="426">
        <v>41827</v>
      </c>
      <c r="B1453">
        <v>628.38</v>
      </c>
      <c r="C1453" t="s">
        <v>1860</v>
      </c>
    </row>
    <row r="1454" spans="1:3" x14ac:dyDescent="0.3">
      <c r="A1454" s="426">
        <v>41828</v>
      </c>
      <c r="B1454">
        <v>624.30999999999995</v>
      </c>
      <c r="C1454" t="s">
        <v>1861</v>
      </c>
    </row>
    <row r="1455" spans="1:3" x14ac:dyDescent="0.3">
      <c r="A1455" s="426">
        <v>41829</v>
      </c>
      <c r="B1455">
        <v>625.07000000000005</v>
      </c>
      <c r="C1455" t="s">
        <v>1862</v>
      </c>
    </row>
    <row r="1456" spans="1:3" x14ac:dyDescent="0.3">
      <c r="A1456" s="426">
        <v>41830</v>
      </c>
      <c r="B1456">
        <v>619.14</v>
      </c>
      <c r="C1456" t="s">
        <v>1863</v>
      </c>
    </row>
    <row r="1457" spans="1:3" x14ac:dyDescent="0.3">
      <c r="A1457" s="426">
        <v>41831</v>
      </c>
      <c r="B1457">
        <v>622.55999999999995</v>
      </c>
      <c r="C1457" t="s">
        <v>1864</v>
      </c>
    </row>
    <row r="1458" spans="1:3" x14ac:dyDescent="0.3">
      <c r="A1458" s="426">
        <v>41832</v>
      </c>
      <c r="B1458">
        <v>630.52</v>
      </c>
      <c r="C1458" t="s">
        <v>1865</v>
      </c>
    </row>
    <row r="1459" spans="1:3" x14ac:dyDescent="0.3">
      <c r="A1459" s="426">
        <v>41833</v>
      </c>
      <c r="B1459">
        <v>628.41</v>
      </c>
      <c r="C1459" t="s">
        <v>1866</v>
      </c>
    </row>
    <row r="1460" spans="1:3" x14ac:dyDescent="0.3">
      <c r="A1460" s="426">
        <v>41834</v>
      </c>
      <c r="B1460">
        <v>622.4</v>
      </c>
      <c r="C1460" t="s">
        <v>1867</v>
      </c>
    </row>
    <row r="1461" spans="1:3" x14ac:dyDescent="0.3">
      <c r="A1461" s="426">
        <v>41835</v>
      </c>
      <c r="B1461">
        <v>622.65</v>
      </c>
      <c r="C1461" t="s">
        <v>1868</v>
      </c>
    </row>
    <row r="1462" spans="1:3" x14ac:dyDescent="0.3">
      <c r="A1462" s="426">
        <v>41836</v>
      </c>
      <c r="B1462">
        <v>618.65</v>
      </c>
      <c r="C1462" t="s">
        <v>1869</v>
      </c>
    </row>
    <row r="1463" spans="1:3" x14ac:dyDescent="0.3">
      <c r="A1463" s="426">
        <v>41837</v>
      </c>
      <c r="B1463">
        <v>618.52</v>
      </c>
      <c r="C1463" t="s">
        <v>1870</v>
      </c>
    </row>
    <row r="1464" spans="1:3" x14ac:dyDescent="0.3">
      <c r="A1464" s="426">
        <v>41838</v>
      </c>
      <c r="B1464">
        <v>623.34</v>
      </c>
      <c r="C1464" t="s">
        <v>1871</v>
      </c>
    </row>
    <row r="1465" spans="1:3" x14ac:dyDescent="0.3">
      <c r="A1465" s="426">
        <v>41839</v>
      </c>
      <c r="B1465">
        <v>626.57000000000005</v>
      </c>
      <c r="C1465" t="s">
        <v>1872</v>
      </c>
    </row>
    <row r="1466" spans="1:3" x14ac:dyDescent="0.3">
      <c r="A1466" s="426">
        <v>41840</v>
      </c>
      <c r="B1466">
        <v>625.20000000000005</v>
      </c>
      <c r="C1466" t="s">
        <v>1873</v>
      </c>
    </row>
    <row r="1467" spans="1:3" x14ac:dyDescent="0.3">
      <c r="A1467" s="426">
        <v>41841</v>
      </c>
      <c r="B1467">
        <v>621.65</v>
      </c>
      <c r="C1467" t="s">
        <v>1874</v>
      </c>
    </row>
    <row r="1468" spans="1:3" x14ac:dyDescent="0.3">
      <c r="A1468" s="426">
        <v>41842</v>
      </c>
      <c r="B1468">
        <v>622.37</v>
      </c>
      <c r="C1468" t="s">
        <v>1875</v>
      </c>
    </row>
    <row r="1469" spans="1:3" x14ac:dyDescent="0.3">
      <c r="A1469" s="426">
        <v>41843</v>
      </c>
      <c r="B1469">
        <v>621.29999999999995</v>
      </c>
      <c r="C1469" t="s">
        <v>1876</v>
      </c>
    </row>
    <row r="1470" spans="1:3" x14ac:dyDescent="0.3">
      <c r="A1470" s="426">
        <v>41844</v>
      </c>
      <c r="B1470">
        <v>610.52</v>
      </c>
      <c r="C1470" t="s">
        <v>1877</v>
      </c>
    </row>
    <row r="1471" spans="1:3" x14ac:dyDescent="0.3">
      <c r="A1471" s="426">
        <v>41845</v>
      </c>
      <c r="B1471">
        <v>601.52</v>
      </c>
      <c r="C1471" t="s">
        <v>1878</v>
      </c>
    </row>
    <row r="1472" spans="1:3" x14ac:dyDescent="0.3">
      <c r="A1472" s="426">
        <v>41846</v>
      </c>
      <c r="B1472">
        <v>596.84</v>
      </c>
      <c r="C1472" t="s">
        <v>1879</v>
      </c>
    </row>
    <row r="1473" spans="1:3" x14ac:dyDescent="0.3">
      <c r="A1473" s="426">
        <v>41847</v>
      </c>
      <c r="B1473">
        <v>595.9</v>
      </c>
      <c r="C1473" t="s">
        <v>1880</v>
      </c>
    </row>
    <row r="1474" spans="1:3" x14ac:dyDescent="0.3">
      <c r="A1474" s="426">
        <v>41848</v>
      </c>
      <c r="B1474">
        <v>584.92999999999995</v>
      </c>
      <c r="C1474" t="s">
        <v>1881</v>
      </c>
    </row>
    <row r="1475" spans="1:3" x14ac:dyDescent="0.3">
      <c r="A1475" s="426">
        <v>41849</v>
      </c>
      <c r="B1475">
        <v>585.20000000000005</v>
      </c>
      <c r="C1475" t="s">
        <v>1882</v>
      </c>
    </row>
    <row r="1476" spans="1:3" x14ac:dyDescent="0.3">
      <c r="A1476" s="426">
        <v>41850</v>
      </c>
      <c r="B1476">
        <v>579.23</v>
      </c>
      <c r="C1476" t="s">
        <v>1883</v>
      </c>
    </row>
    <row r="1477" spans="1:3" x14ac:dyDescent="0.3">
      <c r="A1477" s="426">
        <v>41851</v>
      </c>
      <c r="B1477">
        <v>573.09</v>
      </c>
      <c r="C1477" t="s">
        <v>1884</v>
      </c>
    </row>
    <row r="1478" spans="1:3" x14ac:dyDescent="0.3">
      <c r="A1478" s="426">
        <v>41852</v>
      </c>
      <c r="B1478">
        <v>592.07000000000005</v>
      </c>
      <c r="C1478" t="s">
        <v>1885</v>
      </c>
    </row>
    <row r="1479" spans="1:3" x14ac:dyDescent="0.3">
      <c r="A1479" s="426">
        <v>41853</v>
      </c>
      <c r="B1479">
        <v>590.4</v>
      </c>
      <c r="C1479" t="s">
        <v>1886</v>
      </c>
    </row>
    <row r="1480" spans="1:3" x14ac:dyDescent="0.3">
      <c r="A1480" s="426">
        <v>41854</v>
      </c>
      <c r="B1480">
        <v>585.30999999999995</v>
      </c>
      <c r="C1480" t="s">
        <v>1887</v>
      </c>
    </row>
    <row r="1481" spans="1:3" x14ac:dyDescent="0.3">
      <c r="A1481" s="426">
        <v>41855</v>
      </c>
      <c r="B1481">
        <v>587.66999999999996</v>
      </c>
      <c r="C1481" t="s">
        <v>1888</v>
      </c>
    </row>
    <row r="1482" spans="1:3" x14ac:dyDescent="0.3">
      <c r="A1482" s="426">
        <v>41856</v>
      </c>
      <c r="B1482">
        <v>586.78</v>
      </c>
      <c r="C1482" t="s">
        <v>1889</v>
      </c>
    </row>
    <row r="1483" spans="1:3" x14ac:dyDescent="0.3">
      <c r="A1483" s="426">
        <v>41857</v>
      </c>
      <c r="B1483">
        <v>585.54999999999995</v>
      </c>
      <c r="C1483" t="s">
        <v>1890</v>
      </c>
    </row>
    <row r="1484" spans="1:3" x14ac:dyDescent="0.3">
      <c r="A1484" s="426">
        <v>41858</v>
      </c>
      <c r="B1484">
        <v>586.01</v>
      </c>
      <c r="C1484" t="s">
        <v>1891</v>
      </c>
    </row>
    <row r="1485" spans="1:3" x14ac:dyDescent="0.3">
      <c r="A1485" s="426">
        <v>41859</v>
      </c>
      <c r="B1485">
        <v>593.25</v>
      </c>
      <c r="C1485" t="s">
        <v>1892</v>
      </c>
    </row>
    <row r="1486" spans="1:3" x14ac:dyDescent="0.3">
      <c r="A1486" s="426">
        <v>41860</v>
      </c>
      <c r="B1486">
        <v>589.20000000000005</v>
      </c>
      <c r="C1486" t="s">
        <v>1893</v>
      </c>
    </row>
    <row r="1487" spans="1:3" x14ac:dyDescent="0.3">
      <c r="A1487" s="426">
        <v>41861</v>
      </c>
      <c r="B1487">
        <v>589.84</v>
      </c>
      <c r="C1487" t="s">
        <v>1894</v>
      </c>
    </row>
    <row r="1488" spans="1:3" x14ac:dyDescent="0.3">
      <c r="A1488" s="426">
        <v>41862</v>
      </c>
      <c r="B1488">
        <v>585.97</v>
      </c>
      <c r="C1488" t="s">
        <v>1895</v>
      </c>
    </row>
    <row r="1489" spans="1:3" x14ac:dyDescent="0.3">
      <c r="A1489" s="426">
        <v>41863</v>
      </c>
      <c r="B1489">
        <v>570.86</v>
      </c>
      <c r="C1489" t="s">
        <v>1896</v>
      </c>
    </row>
    <row r="1490" spans="1:3" x14ac:dyDescent="0.3">
      <c r="A1490" s="426">
        <v>41864</v>
      </c>
      <c r="B1490">
        <v>553.79999999999995</v>
      </c>
      <c r="C1490" t="s">
        <v>1897</v>
      </c>
    </row>
    <row r="1491" spans="1:3" x14ac:dyDescent="0.3">
      <c r="A1491" s="426">
        <v>41865</v>
      </c>
      <c r="B1491">
        <v>521.23</v>
      </c>
      <c r="C1491" t="s">
        <v>1898</v>
      </c>
    </row>
    <row r="1492" spans="1:3" x14ac:dyDescent="0.3">
      <c r="A1492" s="426">
        <v>41866</v>
      </c>
      <c r="B1492">
        <v>506.48</v>
      </c>
      <c r="C1492" t="s">
        <v>1899</v>
      </c>
    </row>
    <row r="1493" spans="1:3" x14ac:dyDescent="0.3">
      <c r="A1493" s="426">
        <v>41867</v>
      </c>
      <c r="B1493">
        <v>500.15</v>
      </c>
      <c r="C1493" t="s">
        <v>1900</v>
      </c>
    </row>
    <row r="1494" spans="1:3" x14ac:dyDescent="0.3">
      <c r="A1494" s="426">
        <v>41868</v>
      </c>
      <c r="B1494">
        <v>503.26</v>
      </c>
      <c r="C1494" t="s">
        <v>1901</v>
      </c>
    </row>
    <row r="1495" spans="1:3" x14ac:dyDescent="0.3">
      <c r="A1495" s="426">
        <v>41869</v>
      </c>
      <c r="B1495">
        <v>474.03</v>
      </c>
      <c r="C1495" t="s">
        <v>1902</v>
      </c>
    </row>
    <row r="1496" spans="1:3" x14ac:dyDescent="0.3">
      <c r="A1496" s="426">
        <v>41870</v>
      </c>
      <c r="B1496">
        <v>471.92</v>
      </c>
      <c r="C1496" t="s">
        <v>1903</v>
      </c>
    </row>
    <row r="1497" spans="1:3" x14ac:dyDescent="0.3">
      <c r="A1497" s="426">
        <v>41871</v>
      </c>
      <c r="B1497">
        <v>488.09</v>
      </c>
      <c r="C1497" t="s">
        <v>1904</v>
      </c>
    </row>
    <row r="1498" spans="1:3" x14ac:dyDescent="0.3">
      <c r="A1498" s="426">
        <v>41872</v>
      </c>
      <c r="B1498">
        <v>519.54999999999995</v>
      </c>
      <c r="C1498" t="s">
        <v>1905</v>
      </c>
    </row>
    <row r="1499" spans="1:3" x14ac:dyDescent="0.3">
      <c r="A1499" s="426">
        <v>41873</v>
      </c>
      <c r="B1499">
        <v>512.59</v>
      </c>
      <c r="C1499" t="s">
        <v>1906</v>
      </c>
    </row>
    <row r="1500" spans="1:3" x14ac:dyDescent="0.3">
      <c r="A1500" s="426">
        <v>41874</v>
      </c>
      <c r="B1500">
        <v>503.95</v>
      </c>
      <c r="C1500" t="s">
        <v>1907</v>
      </c>
    </row>
    <row r="1501" spans="1:3" x14ac:dyDescent="0.3">
      <c r="A1501" s="426">
        <v>41875</v>
      </c>
      <c r="B1501">
        <v>503.44</v>
      </c>
      <c r="C1501" t="s">
        <v>1908</v>
      </c>
    </row>
    <row r="1502" spans="1:3" x14ac:dyDescent="0.3">
      <c r="A1502" s="426">
        <v>41876</v>
      </c>
      <c r="B1502">
        <v>503.49</v>
      </c>
      <c r="C1502" t="s">
        <v>1909</v>
      </c>
    </row>
    <row r="1503" spans="1:3" x14ac:dyDescent="0.3">
      <c r="A1503" s="426">
        <v>41877</v>
      </c>
      <c r="B1503">
        <v>507.53</v>
      </c>
      <c r="C1503" t="s">
        <v>1910</v>
      </c>
    </row>
    <row r="1504" spans="1:3" x14ac:dyDescent="0.3">
      <c r="A1504" s="426">
        <v>41878</v>
      </c>
      <c r="B1504">
        <v>514.70000000000005</v>
      </c>
      <c r="C1504" t="s">
        <v>1911</v>
      </c>
    </row>
    <row r="1505" spans="1:3" x14ac:dyDescent="0.3">
      <c r="A1505" s="426">
        <v>41879</v>
      </c>
      <c r="B1505">
        <v>510.88</v>
      </c>
      <c r="C1505" t="s">
        <v>1912</v>
      </c>
    </row>
    <row r="1506" spans="1:3" x14ac:dyDescent="0.3">
      <c r="A1506" s="426">
        <v>41880</v>
      </c>
      <c r="B1506">
        <v>507.96</v>
      </c>
      <c r="C1506" t="s">
        <v>1913</v>
      </c>
    </row>
    <row r="1507" spans="1:3" x14ac:dyDescent="0.3">
      <c r="A1507" s="426">
        <v>41881</v>
      </c>
      <c r="B1507">
        <v>504.38</v>
      </c>
      <c r="C1507" t="s">
        <v>1914</v>
      </c>
    </row>
    <row r="1508" spans="1:3" x14ac:dyDescent="0.3">
      <c r="A1508" s="426">
        <v>41882</v>
      </c>
      <c r="B1508">
        <v>489.75</v>
      </c>
      <c r="C1508" t="s">
        <v>1915</v>
      </c>
    </row>
    <row r="1509" spans="1:3" x14ac:dyDescent="0.3">
      <c r="A1509" s="426">
        <v>41883</v>
      </c>
      <c r="B1509">
        <v>479.36</v>
      </c>
      <c r="C1509" t="s">
        <v>1916</v>
      </c>
    </row>
    <row r="1510" spans="1:3" x14ac:dyDescent="0.3">
      <c r="A1510" s="426">
        <v>41884</v>
      </c>
      <c r="B1510">
        <v>478.01</v>
      </c>
      <c r="C1510" t="s">
        <v>1917</v>
      </c>
    </row>
    <row r="1511" spans="1:3" x14ac:dyDescent="0.3">
      <c r="A1511" s="426">
        <v>41885</v>
      </c>
      <c r="B1511">
        <v>478.51</v>
      </c>
      <c r="C1511" t="s">
        <v>1918</v>
      </c>
    </row>
    <row r="1512" spans="1:3" x14ac:dyDescent="0.3">
      <c r="A1512" s="426">
        <v>41886</v>
      </c>
      <c r="B1512">
        <v>484.32</v>
      </c>
      <c r="C1512" t="s">
        <v>1919</v>
      </c>
    </row>
    <row r="1513" spans="1:3" x14ac:dyDescent="0.3">
      <c r="A1513" s="426">
        <v>41887</v>
      </c>
      <c r="B1513">
        <v>486.88</v>
      </c>
      <c r="C1513" t="s">
        <v>1920</v>
      </c>
    </row>
    <row r="1514" spans="1:3" x14ac:dyDescent="0.3">
      <c r="A1514" s="426">
        <v>41888</v>
      </c>
      <c r="B1514">
        <v>484.92</v>
      </c>
      <c r="C1514" t="s">
        <v>1921</v>
      </c>
    </row>
    <row r="1515" spans="1:3" x14ac:dyDescent="0.3">
      <c r="A1515" s="426">
        <v>41889</v>
      </c>
      <c r="B1515">
        <v>485.85</v>
      </c>
      <c r="C1515" t="s">
        <v>1922</v>
      </c>
    </row>
    <row r="1516" spans="1:3" x14ac:dyDescent="0.3">
      <c r="A1516" s="426">
        <v>41890</v>
      </c>
      <c r="B1516">
        <v>475.35</v>
      </c>
      <c r="C1516" t="s">
        <v>1923</v>
      </c>
    </row>
    <row r="1517" spans="1:3" x14ac:dyDescent="0.3">
      <c r="A1517" s="426">
        <v>41891</v>
      </c>
      <c r="B1517">
        <v>472.02</v>
      </c>
      <c r="C1517" t="s">
        <v>1924</v>
      </c>
    </row>
    <row r="1518" spans="1:3" x14ac:dyDescent="0.3">
      <c r="A1518" s="426">
        <v>41892</v>
      </c>
      <c r="B1518">
        <v>481.11</v>
      </c>
      <c r="C1518" t="s">
        <v>1925</v>
      </c>
    </row>
    <row r="1519" spans="1:3" x14ac:dyDescent="0.3">
      <c r="A1519" s="426">
        <v>41893</v>
      </c>
      <c r="B1519">
        <v>478.75</v>
      </c>
      <c r="C1519" t="s">
        <v>1926</v>
      </c>
    </row>
    <row r="1520" spans="1:3" x14ac:dyDescent="0.3">
      <c r="A1520" s="426">
        <v>41894</v>
      </c>
      <c r="B1520">
        <v>476.24</v>
      </c>
      <c r="C1520" t="s">
        <v>1927</v>
      </c>
    </row>
    <row r="1521" spans="1:3" x14ac:dyDescent="0.3">
      <c r="A1521" s="426">
        <v>41895</v>
      </c>
      <c r="B1521">
        <v>478.52</v>
      </c>
      <c r="C1521" t="s">
        <v>1928</v>
      </c>
    </row>
    <row r="1522" spans="1:3" x14ac:dyDescent="0.3">
      <c r="A1522" s="426">
        <v>41896</v>
      </c>
      <c r="B1522">
        <v>478.01</v>
      </c>
      <c r="C1522" t="s">
        <v>1929</v>
      </c>
    </row>
    <row r="1523" spans="1:3" x14ac:dyDescent="0.3">
      <c r="A1523" s="426">
        <v>41897</v>
      </c>
      <c r="B1523">
        <v>477.23</v>
      </c>
      <c r="C1523" t="s">
        <v>1930</v>
      </c>
    </row>
    <row r="1524" spans="1:3" x14ac:dyDescent="0.3">
      <c r="A1524" s="426">
        <v>41898</v>
      </c>
      <c r="B1524">
        <v>471.56</v>
      </c>
      <c r="C1524" t="s">
        <v>1931</v>
      </c>
    </row>
    <row r="1525" spans="1:3" x14ac:dyDescent="0.3">
      <c r="A1525" s="426">
        <v>41899</v>
      </c>
      <c r="B1525">
        <v>460.88</v>
      </c>
      <c r="C1525" t="s">
        <v>1932</v>
      </c>
    </row>
    <row r="1526" spans="1:3" x14ac:dyDescent="0.3">
      <c r="A1526" s="426">
        <v>41900</v>
      </c>
      <c r="B1526">
        <v>440.97</v>
      </c>
      <c r="C1526" t="s">
        <v>1933</v>
      </c>
    </row>
    <row r="1527" spans="1:3" x14ac:dyDescent="0.3">
      <c r="A1527" s="426">
        <v>41901</v>
      </c>
      <c r="B1527">
        <v>406.26</v>
      </c>
      <c r="C1527" t="s">
        <v>1934</v>
      </c>
    </row>
    <row r="1528" spans="1:3" x14ac:dyDescent="0.3">
      <c r="A1528" s="426">
        <v>41902</v>
      </c>
      <c r="B1528">
        <v>410.69</v>
      </c>
      <c r="C1528" t="s">
        <v>1935</v>
      </c>
    </row>
    <row r="1529" spans="1:3" x14ac:dyDescent="0.3">
      <c r="A1529" s="426">
        <v>41903</v>
      </c>
      <c r="B1529">
        <v>401.48</v>
      </c>
      <c r="C1529" t="s">
        <v>1936</v>
      </c>
    </row>
    <row r="1530" spans="1:3" x14ac:dyDescent="0.3">
      <c r="A1530" s="426">
        <v>41904</v>
      </c>
      <c r="B1530">
        <v>402.54</v>
      </c>
      <c r="C1530" t="s">
        <v>1937</v>
      </c>
    </row>
    <row r="1531" spans="1:3" x14ac:dyDescent="0.3">
      <c r="A1531" s="426">
        <v>41905</v>
      </c>
      <c r="B1531">
        <v>408.88</v>
      </c>
      <c r="C1531" t="s">
        <v>1938</v>
      </c>
    </row>
    <row r="1532" spans="1:3" x14ac:dyDescent="0.3">
      <c r="A1532" s="426">
        <v>41906</v>
      </c>
      <c r="B1532">
        <v>426.93</v>
      </c>
      <c r="C1532" t="s">
        <v>1939</v>
      </c>
    </row>
    <row r="1533" spans="1:3" x14ac:dyDescent="0.3">
      <c r="A1533" s="426">
        <v>41907</v>
      </c>
      <c r="B1533">
        <v>413.58</v>
      </c>
      <c r="C1533" t="s">
        <v>1940</v>
      </c>
    </row>
    <row r="1534" spans="1:3" x14ac:dyDescent="0.3">
      <c r="A1534" s="426">
        <v>41908</v>
      </c>
      <c r="B1534">
        <v>406.41</v>
      </c>
      <c r="C1534" t="s">
        <v>1941</v>
      </c>
    </row>
    <row r="1535" spans="1:3" x14ac:dyDescent="0.3">
      <c r="A1535" s="426">
        <v>41909</v>
      </c>
      <c r="B1535">
        <v>402.73</v>
      </c>
      <c r="C1535" t="s">
        <v>1942</v>
      </c>
    </row>
    <row r="1536" spans="1:3" x14ac:dyDescent="0.3">
      <c r="A1536" s="426">
        <v>41910</v>
      </c>
      <c r="B1536">
        <v>392.29</v>
      </c>
      <c r="C1536" t="s">
        <v>1943</v>
      </c>
    </row>
    <row r="1537" spans="1:3" x14ac:dyDescent="0.3">
      <c r="A1537" s="426">
        <v>41911</v>
      </c>
      <c r="B1537">
        <v>378.85</v>
      </c>
      <c r="C1537" t="s">
        <v>1944</v>
      </c>
    </row>
    <row r="1538" spans="1:3" x14ac:dyDescent="0.3">
      <c r="A1538" s="426">
        <v>41912</v>
      </c>
      <c r="B1538">
        <v>381.08</v>
      </c>
      <c r="C1538" t="s">
        <v>1945</v>
      </c>
    </row>
    <row r="1539" spans="1:3" x14ac:dyDescent="0.3">
      <c r="A1539" s="426">
        <v>41913</v>
      </c>
      <c r="B1539">
        <v>385.55</v>
      </c>
      <c r="C1539" t="s">
        <v>1946</v>
      </c>
    </row>
    <row r="1540" spans="1:3" x14ac:dyDescent="0.3">
      <c r="A1540" s="426">
        <v>41914</v>
      </c>
      <c r="B1540">
        <v>380.45</v>
      </c>
      <c r="C1540" t="s">
        <v>1947</v>
      </c>
    </row>
    <row r="1541" spans="1:3" x14ac:dyDescent="0.3">
      <c r="A1541" s="426">
        <v>41915</v>
      </c>
      <c r="B1541">
        <v>370.39</v>
      </c>
      <c r="C1541" t="s">
        <v>1948</v>
      </c>
    </row>
    <row r="1542" spans="1:3" x14ac:dyDescent="0.3">
      <c r="A1542" s="426">
        <v>41916</v>
      </c>
      <c r="B1542">
        <v>347.85</v>
      </c>
      <c r="C1542" t="s">
        <v>1949</v>
      </c>
    </row>
    <row r="1543" spans="1:3" x14ac:dyDescent="0.3">
      <c r="A1543" s="426">
        <v>41917</v>
      </c>
      <c r="B1543">
        <v>317.85000000000002</v>
      </c>
      <c r="C1543" t="s">
        <v>1950</v>
      </c>
    </row>
    <row r="1544" spans="1:3" x14ac:dyDescent="0.3">
      <c r="A1544" s="426">
        <v>41918</v>
      </c>
      <c r="B1544">
        <v>325.42</v>
      </c>
      <c r="C1544" t="s">
        <v>1951</v>
      </c>
    </row>
    <row r="1545" spans="1:3" x14ac:dyDescent="0.3">
      <c r="A1545" s="426">
        <v>41919</v>
      </c>
      <c r="B1545">
        <v>331.19</v>
      </c>
      <c r="C1545" t="s">
        <v>1952</v>
      </c>
    </row>
    <row r="1546" spans="1:3" x14ac:dyDescent="0.3">
      <c r="A1546" s="426">
        <v>41920</v>
      </c>
      <c r="B1546">
        <v>338.96</v>
      </c>
      <c r="C1546" t="s">
        <v>1953</v>
      </c>
    </row>
    <row r="1547" spans="1:3" x14ac:dyDescent="0.3">
      <c r="A1547" s="426">
        <v>41921</v>
      </c>
      <c r="B1547">
        <v>363.13</v>
      </c>
      <c r="C1547" t="s">
        <v>1954</v>
      </c>
    </row>
    <row r="1548" spans="1:3" x14ac:dyDescent="0.3">
      <c r="A1548" s="426">
        <v>41922</v>
      </c>
      <c r="B1548">
        <v>363.19</v>
      </c>
      <c r="C1548" t="s">
        <v>1955</v>
      </c>
    </row>
    <row r="1549" spans="1:3" x14ac:dyDescent="0.3">
      <c r="A1549" s="426">
        <v>41923</v>
      </c>
      <c r="B1549">
        <v>361.15</v>
      </c>
      <c r="C1549" t="s">
        <v>1956</v>
      </c>
    </row>
    <row r="1550" spans="1:3" x14ac:dyDescent="0.3">
      <c r="A1550" s="426">
        <v>41924</v>
      </c>
      <c r="B1550">
        <v>363.76</v>
      </c>
      <c r="C1550" t="s">
        <v>1957</v>
      </c>
    </row>
    <row r="1551" spans="1:3" x14ac:dyDescent="0.3">
      <c r="A1551" s="426">
        <v>41925</v>
      </c>
      <c r="B1551">
        <v>379.19</v>
      </c>
      <c r="C1551" t="s">
        <v>1958</v>
      </c>
    </row>
    <row r="1552" spans="1:3" x14ac:dyDescent="0.3">
      <c r="A1552" s="426">
        <v>41926</v>
      </c>
      <c r="B1552">
        <v>402.04</v>
      </c>
      <c r="C1552" t="s">
        <v>1959</v>
      </c>
    </row>
    <row r="1553" spans="1:3" x14ac:dyDescent="0.3">
      <c r="A1553" s="426">
        <v>41927</v>
      </c>
      <c r="B1553">
        <v>395.34</v>
      </c>
      <c r="C1553" t="s">
        <v>1960</v>
      </c>
    </row>
    <row r="1554" spans="1:3" x14ac:dyDescent="0.3">
      <c r="A1554" s="426">
        <v>41928</v>
      </c>
      <c r="B1554">
        <v>388.03</v>
      </c>
      <c r="C1554" t="s">
        <v>1961</v>
      </c>
    </row>
    <row r="1555" spans="1:3" x14ac:dyDescent="0.3">
      <c r="A1555" s="426">
        <v>41929</v>
      </c>
      <c r="B1555">
        <v>381</v>
      </c>
      <c r="C1555" t="s">
        <v>1962</v>
      </c>
    </row>
    <row r="1556" spans="1:3" x14ac:dyDescent="0.3">
      <c r="A1556" s="426">
        <v>41930</v>
      </c>
      <c r="B1556">
        <v>386.69</v>
      </c>
      <c r="C1556" t="s">
        <v>1963</v>
      </c>
    </row>
    <row r="1557" spans="1:3" x14ac:dyDescent="0.3">
      <c r="A1557" s="426">
        <v>41931</v>
      </c>
      <c r="B1557">
        <v>390.96</v>
      </c>
      <c r="C1557" t="s">
        <v>1964</v>
      </c>
    </row>
    <row r="1558" spans="1:3" x14ac:dyDescent="0.3">
      <c r="A1558" s="426">
        <v>41932</v>
      </c>
      <c r="B1558">
        <v>384.3</v>
      </c>
      <c r="C1558" t="s">
        <v>1965</v>
      </c>
    </row>
    <row r="1559" spans="1:3" x14ac:dyDescent="0.3">
      <c r="A1559" s="426">
        <v>41933</v>
      </c>
      <c r="B1559">
        <v>386.61</v>
      </c>
      <c r="C1559" t="s">
        <v>1966</v>
      </c>
    </row>
    <row r="1560" spans="1:3" x14ac:dyDescent="0.3">
      <c r="A1560" s="426">
        <v>41934</v>
      </c>
      <c r="B1560">
        <v>385.39</v>
      </c>
      <c r="C1560" t="s">
        <v>1967</v>
      </c>
    </row>
    <row r="1561" spans="1:3" x14ac:dyDescent="0.3">
      <c r="A1561" s="426">
        <v>41935</v>
      </c>
      <c r="B1561">
        <v>369.5</v>
      </c>
      <c r="C1561" t="s">
        <v>1968</v>
      </c>
    </row>
    <row r="1562" spans="1:3" x14ac:dyDescent="0.3">
      <c r="A1562" s="426">
        <v>41936</v>
      </c>
      <c r="B1562">
        <v>358.76</v>
      </c>
      <c r="C1562" t="s">
        <v>1969</v>
      </c>
    </row>
    <row r="1563" spans="1:3" x14ac:dyDescent="0.3">
      <c r="A1563" s="426">
        <v>41937</v>
      </c>
      <c r="B1563">
        <v>351.01</v>
      </c>
      <c r="C1563" t="s">
        <v>1970</v>
      </c>
    </row>
    <row r="1564" spans="1:3" x14ac:dyDescent="0.3">
      <c r="A1564" s="426">
        <v>41938</v>
      </c>
      <c r="B1564">
        <v>352.56</v>
      </c>
      <c r="C1564" t="s">
        <v>1971</v>
      </c>
    </row>
    <row r="1565" spans="1:3" x14ac:dyDescent="0.3">
      <c r="A1565" s="426">
        <v>41939</v>
      </c>
      <c r="B1565">
        <v>355.29</v>
      </c>
      <c r="C1565" t="s">
        <v>1972</v>
      </c>
    </row>
    <row r="1566" spans="1:3" x14ac:dyDescent="0.3">
      <c r="A1566" s="426">
        <v>41940</v>
      </c>
      <c r="B1566">
        <v>357.15</v>
      </c>
      <c r="C1566" t="s">
        <v>1973</v>
      </c>
    </row>
    <row r="1567" spans="1:3" x14ac:dyDescent="0.3">
      <c r="A1567" s="426">
        <v>41941</v>
      </c>
      <c r="B1567">
        <v>348.1</v>
      </c>
      <c r="C1567" t="s">
        <v>1974</v>
      </c>
    </row>
    <row r="1568" spans="1:3" x14ac:dyDescent="0.3">
      <c r="A1568" s="426">
        <v>41942</v>
      </c>
      <c r="B1568">
        <v>339.5</v>
      </c>
      <c r="C1568" t="s">
        <v>1975</v>
      </c>
    </row>
    <row r="1569" spans="1:3" x14ac:dyDescent="0.3">
      <c r="A1569" s="426">
        <v>41943</v>
      </c>
      <c r="B1569">
        <v>342.38</v>
      </c>
      <c r="C1569" t="s">
        <v>1976</v>
      </c>
    </row>
    <row r="1570" spans="1:3" x14ac:dyDescent="0.3">
      <c r="A1570" s="426">
        <v>41944</v>
      </c>
      <c r="B1570">
        <v>330.68</v>
      </c>
      <c r="C1570" t="s">
        <v>1977</v>
      </c>
    </row>
    <row r="1571" spans="1:3" x14ac:dyDescent="0.3">
      <c r="A1571" s="426">
        <v>41945</v>
      </c>
      <c r="B1571">
        <v>325.77999999999997</v>
      </c>
      <c r="C1571" t="s">
        <v>1978</v>
      </c>
    </row>
    <row r="1572" spans="1:3" x14ac:dyDescent="0.3">
      <c r="A1572" s="426">
        <v>41946</v>
      </c>
      <c r="B1572">
        <v>329.39</v>
      </c>
      <c r="C1572" t="s">
        <v>1979</v>
      </c>
    </row>
    <row r="1573" spans="1:3" x14ac:dyDescent="0.3">
      <c r="A1573" s="426">
        <v>41947</v>
      </c>
      <c r="B1573">
        <v>328.53</v>
      </c>
      <c r="C1573" t="s">
        <v>1980</v>
      </c>
    </row>
    <row r="1574" spans="1:3" x14ac:dyDescent="0.3">
      <c r="A1574" s="426">
        <v>41948</v>
      </c>
      <c r="B1574">
        <v>338.12</v>
      </c>
      <c r="C1574" t="s">
        <v>1981</v>
      </c>
    </row>
    <row r="1575" spans="1:3" x14ac:dyDescent="0.3">
      <c r="A1575" s="426">
        <v>41949</v>
      </c>
      <c r="B1575">
        <v>343.26</v>
      </c>
      <c r="C1575" t="s">
        <v>1982</v>
      </c>
    </row>
    <row r="1576" spans="1:3" x14ac:dyDescent="0.3">
      <c r="A1576" s="426">
        <v>41950</v>
      </c>
      <c r="B1576">
        <v>345.94</v>
      </c>
      <c r="C1576" t="s">
        <v>1983</v>
      </c>
    </row>
    <row r="1577" spans="1:3" x14ac:dyDescent="0.3">
      <c r="A1577" s="426">
        <v>41951</v>
      </c>
      <c r="B1577">
        <v>344.54</v>
      </c>
      <c r="C1577" t="s">
        <v>1984</v>
      </c>
    </row>
    <row r="1578" spans="1:3" x14ac:dyDescent="0.3">
      <c r="A1578" s="426">
        <v>41952</v>
      </c>
      <c r="B1578">
        <v>351.33</v>
      </c>
      <c r="C1578" t="s">
        <v>1985</v>
      </c>
    </row>
    <row r="1579" spans="1:3" x14ac:dyDescent="0.3">
      <c r="A1579" s="426">
        <v>41953</v>
      </c>
      <c r="B1579">
        <v>365.56</v>
      </c>
      <c r="C1579" t="s">
        <v>1986</v>
      </c>
    </row>
    <row r="1580" spans="1:3" x14ac:dyDescent="0.3">
      <c r="A1580" s="426">
        <v>41954</v>
      </c>
      <c r="B1580">
        <v>367.84</v>
      </c>
      <c r="C1580" t="s">
        <v>1987</v>
      </c>
    </row>
    <row r="1581" spans="1:3" x14ac:dyDescent="0.3">
      <c r="A1581" s="426">
        <v>41955</v>
      </c>
      <c r="B1581">
        <v>394.86</v>
      </c>
      <c r="C1581" t="s">
        <v>1988</v>
      </c>
    </row>
    <row r="1582" spans="1:3" x14ac:dyDescent="0.3">
      <c r="A1582" s="426">
        <v>41956</v>
      </c>
      <c r="B1582">
        <v>431.16</v>
      </c>
      <c r="C1582" t="s">
        <v>1989</v>
      </c>
    </row>
    <row r="1583" spans="1:3" x14ac:dyDescent="0.3">
      <c r="A1583" s="426">
        <v>41957</v>
      </c>
      <c r="B1583">
        <v>397.25</v>
      </c>
      <c r="C1583" t="s">
        <v>1990</v>
      </c>
    </row>
    <row r="1584" spans="1:3" x14ac:dyDescent="0.3">
      <c r="A1584" s="426">
        <v>41958</v>
      </c>
      <c r="B1584">
        <v>387.3</v>
      </c>
      <c r="C1584" t="s">
        <v>1991</v>
      </c>
    </row>
    <row r="1585" spans="1:3" x14ac:dyDescent="0.3">
      <c r="A1585" s="426">
        <v>41959</v>
      </c>
      <c r="B1585">
        <v>384.05</v>
      </c>
      <c r="C1585" t="s">
        <v>1992</v>
      </c>
    </row>
    <row r="1586" spans="1:3" x14ac:dyDescent="0.3">
      <c r="A1586" s="426">
        <v>41960</v>
      </c>
      <c r="B1586">
        <v>396.79</v>
      </c>
      <c r="C1586" t="s">
        <v>1993</v>
      </c>
    </row>
    <row r="1587" spans="1:3" x14ac:dyDescent="0.3">
      <c r="A1587" s="426">
        <v>41961</v>
      </c>
      <c r="B1587">
        <v>382.01</v>
      </c>
      <c r="C1587" t="s">
        <v>1994</v>
      </c>
    </row>
    <row r="1588" spans="1:3" x14ac:dyDescent="0.3">
      <c r="A1588" s="426">
        <v>41962</v>
      </c>
      <c r="B1588">
        <v>380.05</v>
      </c>
      <c r="C1588" t="s">
        <v>1995</v>
      </c>
    </row>
    <row r="1589" spans="1:3" x14ac:dyDescent="0.3">
      <c r="A1589" s="426">
        <v>41963</v>
      </c>
      <c r="B1589">
        <v>366.77</v>
      </c>
      <c r="C1589" t="s">
        <v>1996</v>
      </c>
    </row>
    <row r="1590" spans="1:3" x14ac:dyDescent="0.3">
      <c r="A1590" s="426">
        <v>41964</v>
      </c>
      <c r="B1590">
        <v>352.39</v>
      </c>
      <c r="C1590" t="s">
        <v>1997</v>
      </c>
    </row>
    <row r="1591" spans="1:3" x14ac:dyDescent="0.3">
      <c r="A1591" s="426">
        <v>41965</v>
      </c>
      <c r="B1591">
        <v>357.49</v>
      </c>
      <c r="C1591" t="s">
        <v>1998</v>
      </c>
    </row>
    <row r="1592" spans="1:3" x14ac:dyDescent="0.3">
      <c r="A1592" s="426">
        <v>41966</v>
      </c>
      <c r="B1592">
        <v>359.64</v>
      </c>
      <c r="C1592" t="s">
        <v>1999</v>
      </c>
    </row>
    <row r="1593" spans="1:3" x14ac:dyDescent="0.3">
      <c r="A1593" s="426">
        <v>41967</v>
      </c>
      <c r="B1593">
        <v>375.52</v>
      </c>
      <c r="C1593" t="s">
        <v>2000</v>
      </c>
    </row>
    <row r="1594" spans="1:3" x14ac:dyDescent="0.3">
      <c r="A1594" s="426">
        <v>41968</v>
      </c>
      <c r="B1594">
        <v>383.65</v>
      </c>
      <c r="C1594" t="s">
        <v>2001</v>
      </c>
    </row>
    <row r="1595" spans="1:3" x14ac:dyDescent="0.3">
      <c r="A1595" s="426">
        <v>41969</v>
      </c>
      <c r="B1595">
        <v>373.07</v>
      </c>
      <c r="C1595" t="s">
        <v>2002</v>
      </c>
    </row>
    <row r="1596" spans="1:3" x14ac:dyDescent="0.3">
      <c r="A1596" s="426">
        <v>41970</v>
      </c>
      <c r="B1596">
        <v>372.72</v>
      </c>
      <c r="C1596" t="s">
        <v>2003</v>
      </c>
    </row>
    <row r="1597" spans="1:3" x14ac:dyDescent="0.3">
      <c r="A1597" s="426">
        <v>41971</v>
      </c>
      <c r="B1597">
        <v>370.53</v>
      </c>
      <c r="C1597" t="s">
        <v>2004</v>
      </c>
    </row>
    <row r="1598" spans="1:3" x14ac:dyDescent="0.3">
      <c r="A1598" s="426">
        <v>41972</v>
      </c>
      <c r="B1598">
        <v>379.08</v>
      </c>
      <c r="C1598" t="s">
        <v>2005</v>
      </c>
    </row>
    <row r="1599" spans="1:3" x14ac:dyDescent="0.3">
      <c r="A1599" s="426">
        <v>41973</v>
      </c>
      <c r="B1599">
        <v>378.9</v>
      </c>
      <c r="C1599" t="s">
        <v>2006</v>
      </c>
    </row>
    <row r="1600" spans="1:3" x14ac:dyDescent="0.3">
      <c r="A1600" s="426">
        <v>41974</v>
      </c>
      <c r="B1600">
        <v>381.05</v>
      </c>
      <c r="C1600" t="s">
        <v>2007</v>
      </c>
    </row>
    <row r="1601" spans="1:3" x14ac:dyDescent="0.3">
      <c r="A1601" s="426">
        <v>41975</v>
      </c>
      <c r="B1601">
        <v>382.46</v>
      </c>
      <c r="C1601" t="s">
        <v>2008</v>
      </c>
    </row>
    <row r="1602" spans="1:3" x14ac:dyDescent="0.3">
      <c r="A1602" s="426">
        <v>41976</v>
      </c>
      <c r="B1602">
        <v>380.02</v>
      </c>
      <c r="C1602" t="s">
        <v>2009</v>
      </c>
    </row>
    <row r="1603" spans="1:3" x14ac:dyDescent="0.3">
      <c r="A1603" s="426">
        <v>41977</v>
      </c>
      <c r="B1603">
        <v>375.5</v>
      </c>
      <c r="C1603" t="s">
        <v>2010</v>
      </c>
    </row>
    <row r="1604" spans="1:3" x14ac:dyDescent="0.3">
      <c r="A1604" s="426">
        <v>41978</v>
      </c>
      <c r="B1604">
        <v>374.1</v>
      </c>
      <c r="C1604" t="s">
        <v>2011</v>
      </c>
    </row>
    <row r="1605" spans="1:3" x14ac:dyDescent="0.3">
      <c r="A1605" s="426">
        <v>41979</v>
      </c>
      <c r="B1605">
        <v>376.15</v>
      </c>
      <c r="C1605" t="s">
        <v>2012</v>
      </c>
    </row>
    <row r="1606" spans="1:3" x14ac:dyDescent="0.3">
      <c r="A1606" s="426">
        <v>41980</v>
      </c>
      <c r="B1606">
        <v>377.47</v>
      </c>
      <c r="C1606" t="s">
        <v>2013</v>
      </c>
    </row>
    <row r="1607" spans="1:3" x14ac:dyDescent="0.3">
      <c r="A1607" s="426">
        <v>41981</v>
      </c>
      <c r="B1607">
        <v>370.68</v>
      </c>
      <c r="C1607" t="s">
        <v>2014</v>
      </c>
    </row>
    <row r="1608" spans="1:3" x14ac:dyDescent="0.3">
      <c r="A1608" s="426">
        <v>41982</v>
      </c>
      <c r="B1608">
        <v>354.25</v>
      </c>
      <c r="C1608" t="s">
        <v>2015</v>
      </c>
    </row>
    <row r="1609" spans="1:3" x14ac:dyDescent="0.3">
      <c r="A1609" s="426">
        <v>41983</v>
      </c>
      <c r="B1609">
        <v>351.09</v>
      </c>
      <c r="C1609" t="s">
        <v>2016</v>
      </c>
    </row>
    <row r="1610" spans="1:3" x14ac:dyDescent="0.3">
      <c r="A1610" s="426">
        <v>41984</v>
      </c>
      <c r="B1610">
        <v>352.9</v>
      </c>
      <c r="C1610" t="s">
        <v>2017</v>
      </c>
    </row>
    <row r="1611" spans="1:3" x14ac:dyDescent="0.3">
      <c r="A1611" s="426">
        <v>41985</v>
      </c>
      <c r="B1611">
        <v>352.09</v>
      </c>
      <c r="C1611" t="s">
        <v>2018</v>
      </c>
    </row>
    <row r="1612" spans="1:3" x14ac:dyDescent="0.3">
      <c r="A1612" s="426">
        <v>41986</v>
      </c>
      <c r="B1612">
        <v>349.52</v>
      </c>
      <c r="C1612" t="s">
        <v>2019</v>
      </c>
    </row>
    <row r="1613" spans="1:3" x14ac:dyDescent="0.3">
      <c r="A1613" s="426">
        <v>41987</v>
      </c>
      <c r="B1613">
        <v>350.5</v>
      </c>
      <c r="C1613" t="s">
        <v>2020</v>
      </c>
    </row>
    <row r="1614" spans="1:3" x14ac:dyDescent="0.3">
      <c r="A1614" s="426">
        <v>41988</v>
      </c>
      <c r="B1614">
        <v>349.38</v>
      </c>
      <c r="C1614" t="s">
        <v>2021</v>
      </c>
    </row>
    <row r="1615" spans="1:3" x14ac:dyDescent="0.3">
      <c r="A1615" s="426">
        <v>41989</v>
      </c>
      <c r="B1615">
        <v>337.17</v>
      </c>
      <c r="C1615" t="s">
        <v>2022</v>
      </c>
    </row>
    <row r="1616" spans="1:3" x14ac:dyDescent="0.3">
      <c r="A1616" s="426">
        <v>41990</v>
      </c>
      <c r="B1616">
        <v>324.08</v>
      </c>
      <c r="C1616" t="s">
        <v>2023</v>
      </c>
    </row>
    <row r="1617" spans="1:3" x14ac:dyDescent="0.3">
      <c r="A1617" s="426">
        <v>41991</v>
      </c>
      <c r="B1617">
        <v>313.64999999999998</v>
      </c>
      <c r="C1617" t="s">
        <v>2024</v>
      </c>
    </row>
    <row r="1618" spans="1:3" x14ac:dyDescent="0.3">
      <c r="A1618" s="426">
        <v>41992</v>
      </c>
      <c r="B1618">
        <v>313.97000000000003</v>
      </c>
      <c r="C1618" t="s">
        <v>2025</v>
      </c>
    </row>
    <row r="1619" spans="1:3" x14ac:dyDescent="0.3">
      <c r="A1619" s="426">
        <v>41993</v>
      </c>
      <c r="B1619">
        <v>325.48</v>
      </c>
      <c r="C1619" t="s">
        <v>2026</v>
      </c>
    </row>
    <row r="1620" spans="1:3" x14ac:dyDescent="0.3">
      <c r="A1620" s="426">
        <v>41994</v>
      </c>
      <c r="B1620">
        <v>325.45999999999998</v>
      </c>
      <c r="C1620" t="s">
        <v>2027</v>
      </c>
    </row>
    <row r="1621" spans="1:3" x14ac:dyDescent="0.3">
      <c r="A1621" s="426">
        <v>41995</v>
      </c>
      <c r="B1621">
        <v>329.23</v>
      </c>
      <c r="C1621" t="s">
        <v>2028</v>
      </c>
    </row>
    <row r="1622" spans="1:3" x14ac:dyDescent="0.3">
      <c r="A1622" s="426">
        <v>41996</v>
      </c>
      <c r="B1622">
        <v>334.51</v>
      </c>
      <c r="C1622" t="s">
        <v>2029</v>
      </c>
    </row>
    <row r="1623" spans="1:3" x14ac:dyDescent="0.3">
      <c r="A1623" s="426">
        <v>41997</v>
      </c>
      <c r="B1623">
        <v>331.51</v>
      </c>
      <c r="C1623" t="s">
        <v>2030</v>
      </c>
    </row>
    <row r="1624" spans="1:3" x14ac:dyDescent="0.3">
      <c r="A1624" s="426">
        <v>41998</v>
      </c>
      <c r="B1624">
        <v>321.91000000000003</v>
      </c>
      <c r="C1624" t="s">
        <v>2031</v>
      </c>
    </row>
    <row r="1625" spans="1:3" x14ac:dyDescent="0.3">
      <c r="A1625" s="426">
        <v>41999</v>
      </c>
      <c r="B1625">
        <v>324.44</v>
      </c>
      <c r="C1625" t="s">
        <v>2032</v>
      </c>
    </row>
    <row r="1626" spans="1:3" x14ac:dyDescent="0.3">
      <c r="A1626" s="426">
        <v>42000</v>
      </c>
      <c r="B1626">
        <v>321.26</v>
      </c>
      <c r="C1626" t="s">
        <v>2033</v>
      </c>
    </row>
    <row r="1627" spans="1:3" x14ac:dyDescent="0.3">
      <c r="A1627" s="426">
        <v>42001</v>
      </c>
      <c r="B1627">
        <v>318.02</v>
      </c>
      <c r="C1627" t="s">
        <v>2034</v>
      </c>
    </row>
    <row r="1628" spans="1:3" x14ac:dyDescent="0.3">
      <c r="A1628" s="426">
        <v>42002</v>
      </c>
      <c r="B1628">
        <v>317.39</v>
      </c>
      <c r="C1628" t="s">
        <v>2035</v>
      </c>
    </row>
    <row r="1629" spans="1:3" x14ac:dyDescent="0.3">
      <c r="A1629" s="426">
        <v>42003</v>
      </c>
      <c r="B1629">
        <v>315.68</v>
      </c>
      <c r="C1629" t="s">
        <v>2036</v>
      </c>
    </row>
    <row r="1630" spans="1:3" x14ac:dyDescent="0.3">
      <c r="A1630" s="426">
        <v>42004</v>
      </c>
      <c r="B1630">
        <v>315.19</v>
      </c>
      <c r="C1630" t="s">
        <v>2037</v>
      </c>
    </row>
    <row r="1631" spans="1:3" x14ac:dyDescent="0.3">
      <c r="A1631" s="426">
        <v>42005</v>
      </c>
      <c r="B1631">
        <v>316.93</v>
      </c>
      <c r="C1631" t="s">
        <v>2038</v>
      </c>
    </row>
    <row r="1632" spans="1:3" x14ac:dyDescent="0.3">
      <c r="A1632" s="426">
        <v>42006</v>
      </c>
      <c r="B1632">
        <v>316.02999999999997</v>
      </c>
      <c r="C1632" t="s">
        <v>2039</v>
      </c>
    </row>
    <row r="1633" spans="1:3" x14ac:dyDescent="0.3">
      <c r="A1633" s="426">
        <v>42007</v>
      </c>
      <c r="B1633">
        <v>305.19</v>
      </c>
      <c r="C1633" t="s">
        <v>2040</v>
      </c>
    </row>
    <row r="1634" spans="1:3" x14ac:dyDescent="0.3">
      <c r="A1634" s="426">
        <v>42008</v>
      </c>
      <c r="B1634">
        <v>275.31</v>
      </c>
      <c r="C1634" t="s">
        <v>2041</v>
      </c>
    </row>
    <row r="1635" spans="1:3" x14ac:dyDescent="0.3">
      <c r="A1635" s="426">
        <v>42009</v>
      </c>
      <c r="B1635">
        <v>272.66000000000003</v>
      </c>
      <c r="C1635" t="s">
        <v>2042</v>
      </c>
    </row>
    <row r="1636" spans="1:3" x14ac:dyDescent="0.3">
      <c r="A1636" s="426">
        <v>42010</v>
      </c>
      <c r="B1636">
        <v>277.86</v>
      </c>
      <c r="C1636" t="s">
        <v>2043</v>
      </c>
    </row>
    <row r="1637" spans="1:3" x14ac:dyDescent="0.3">
      <c r="A1637" s="426">
        <v>42011</v>
      </c>
      <c r="B1637">
        <v>289.06</v>
      </c>
      <c r="C1637" t="s">
        <v>2044</v>
      </c>
    </row>
    <row r="1638" spans="1:3" x14ac:dyDescent="0.3">
      <c r="A1638" s="426">
        <v>42012</v>
      </c>
      <c r="B1638">
        <v>289.83999999999997</v>
      </c>
      <c r="C1638" t="s">
        <v>2045</v>
      </c>
    </row>
    <row r="1639" spans="1:3" x14ac:dyDescent="0.3">
      <c r="A1639" s="426">
        <v>42013</v>
      </c>
      <c r="B1639">
        <v>285.94</v>
      </c>
      <c r="C1639" t="s">
        <v>2046</v>
      </c>
    </row>
    <row r="1640" spans="1:3" x14ac:dyDescent="0.3">
      <c r="A1640" s="426">
        <v>42014</v>
      </c>
      <c r="B1640">
        <v>281.27</v>
      </c>
      <c r="C1640" t="s">
        <v>2047</v>
      </c>
    </row>
    <row r="1641" spans="1:3" x14ac:dyDescent="0.3">
      <c r="A1641" s="426">
        <v>42015</v>
      </c>
      <c r="B1641">
        <v>274.69</v>
      </c>
      <c r="C1641" t="s">
        <v>2048</v>
      </c>
    </row>
    <row r="1642" spans="1:3" x14ac:dyDescent="0.3">
      <c r="A1642" s="426">
        <v>42016</v>
      </c>
      <c r="B1642">
        <v>270.42</v>
      </c>
      <c r="C1642" t="s">
        <v>2049</v>
      </c>
    </row>
    <row r="1643" spans="1:3" x14ac:dyDescent="0.3">
      <c r="A1643" s="426">
        <v>42017</v>
      </c>
      <c r="B1643">
        <v>241.05</v>
      </c>
      <c r="C1643" t="s">
        <v>2050</v>
      </c>
    </row>
    <row r="1644" spans="1:3" x14ac:dyDescent="0.3">
      <c r="A1644" s="426">
        <v>42018</v>
      </c>
      <c r="B1644">
        <v>199.02</v>
      </c>
      <c r="C1644" t="s">
        <v>2051</v>
      </c>
    </row>
    <row r="1645" spans="1:3" x14ac:dyDescent="0.3">
      <c r="A1645" s="426">
        <v>42019</v>
      </c>
      <c r="B1645">
        <v>206.87</v>
      </c>
      <c r="C1645" t="s">
        <v>2052</v>
      </c>
    </row>
    <row r="1646" spans="1:3" x14ac:dyDescent="0.3">
      <c r="A1646" s="426">
        <v>42020</v>
      </c>
      <c r="B1646">
        <v>212.21</v>
      </c>
      <c r="C1646" t="s">
        <v>2053</v>
      </c>
    </row>
    <row r="1647" spans="1:3" x14ac:dyDescent="0.3">
      <c r="A1647" s="426">
        <v>42021</v>
      </c>
      <c r="B1647">
        <v>201.75</v>
      </c>
      <c r="C1647" t="s">
        <v>2054</v>
      </c>
    </row>
    <row r="1648" spans="1:3" x14ac:dyDescent="0.3">
      <c r="A1648" s="426">
        <v>42022</v>
      </c>
      <c r="B1648">
        <v>206.68</v>
      </c>
      <c r="C1648" t="s">
        <v>2055</v>
      </c>
    </row>
    <row r="1649" spans="1:3" x14ac:dyDescent="0.3">
      <c r="A1649" s="426">
        <v>42023</v>
      </c>
      <c r="B1649">
        <v>212.69</v>
      </c>
      <c r="C1649" t="s">
        <v>2056</v>
      </c>
    </row>
    <row r="1650" spans="1:3" x14ac:dyDescent="0.3">
      <c r="A1650" s="426">
        <v>42024</v>
      </c>
      <c r="B1650">
        <v>211.91</v>
      </c>
      <c r="C1650" t="s">
        <v>2057</v>
      </c>
    </row>
    <row r="1651" spans="1:3" x14ac:dyDescent="0.3">
      <c r="A1651" s="426">
        <v>42025</v>
      </c>
      <c r="B1651">
        <v>215.91</v>
      </c>
      <c r="C1651" t="s">
        <v>2058</v>
      </c>
    </row>
    <row r="1652" spans="1:3" x14ac:dyDescent="0.3">
      <c r="A1652" s="426">
        <v>42026</v>
      </c>
      <c r="B1652">
        <v>232.3</v>
      </c>
      <c r="C1652" t="s">
        <v>2059</v>
      </c>
    </row>
    <row r="1653" spans="1:3" x14ac:dyDescent="0.3">
      <c r="A1653" s="426">
        <v>42027</v>
      </c>
      <c r="B1653">
        <v>230.6</v>
      </c>
      <c r="C1653" t="s">
        <v>2060</v>
      </c>
    </row>
    <row r="1654" spans="1:3" x14ac:dyDescent="0.3">
      <c r="A1654" s="426">
        <v>42028</v>
      </c>
      <c r="B1654">
        <v>238.2</v>
      </c>
      <c r="C1654" t="s">
        <v>2061</v>
      </c>
    </row>
    <row r="1655" spans="1:3" x14ac:dyDescent="0.3">
      <c r="A1655" s="426">
        <v>42029</v>
      </c>
      <c r="B1655">
        <v>248.82</v>
      </c>
      <c r="C1655" t="s">
        <v>2062</v>
      </c>
    </row>
    <row r="1656" spans="1:3" x14ac:dyDescent="0.3">
      <c r="A1656" s="426">
        <v>42030</v>
      </c>
      <c r="B1656">
        <v>281.16000000000003</v>
      </c>
      <c r="C1656" t="s">
        <v>2063</v>
      </c>
    </row>
    <row r="1657" spans="1:3" x14ac:dyDescent="0.3">
      <c r="A1657" s="426">
        <v>42031</v>
      </c>
      <c r="B1657">
        <v>261.64</v>
      </c>
      <c r="C1657" t="s">
        <v>2064</v>
      </c>
    </row>
    <row r="1658" spans="1:3" x14ac:dyDescent="0.3">
      <c r="A1658" s="426">
        <v>42032</v>
      </c>
      <c r="B1658">
        <v>253.42</v>
      </c>
      <c r="C1658" t="s">
        <v>2065</v>
      </c>
    </row>
    <row r="1659" spans="1:3" x14ac:dyDescent="0.3">
      <c r="A1659" s="426">
        <v>42033</v>
      </c>
      <c r="B1659">
        <v>232.72</v>
      </c>
      <c r="C1659" t="s">
        <v>2066</v>
      </c>
    </row>
    <row r="1660" spans="1:3" x14ac:dyDescent="0.3">
      <c r="A1660" s="426">
        <v>42034</v>
      </c>
      <c r="B1660">
        <v>232.88</v>
      </c>
      <c r="C1660" t="s">
        <v>2067</v>
      </c>
    </row>
    <row r="1661" spans="1:3" x14ac:dyDescent="0.3">
      <c r="A1661" s="426">
        <v>42035</v>
      </c>
      <c r="B1661">
        <v>228.53</v>
      </c>
      <c r="C1661" t="s">
        <v>2068</v>
      </c>
    </row>
    <row r="1662" spans="1:3" x14ac:dyDescent="0.3">
      <c r="A1662" s="426">
        <v>42036</v>
      </c>
      <c r="B1662">
        <v>219.14</v>
      </c>
      <c r="C1662" t="s">
        <v>2069</v>
      </c>
    </row>
    <row r="1663" spans="1:3" x14ac:dyDescent="0.3">
      <c r="A1663" s="426">
        <v>42037</v>
      </c>
      <c r="B1663">
        <v>227.5</v>
      </c>
      <c r="C1663" t="s">
        <v>2070</v>
      </c>
    </row>
    <row r="1664" spans="1:3" x14ac:dyDescent="0.3">
      <c r="A1664" s="426">
        <v>42038</v>
      </c>
      <c r="B1664">
        <v>237.42</v>
      </c>
      <c r="C1664" t="s">
        <v>2071</v>
      </c>
    </row>
    <row r="1665" spans="1:3" x14ac:dyDescent="0.3">
      <c r="A1665" s="426">
        <v>42039</v>
      </c>
      <c r="B1665">
        <v>226.28</v>
      </c>
      <c r="C1665" t="s">
        <v>2072</v>
      </c>
    </row>
    <row r="1666" spans="1:3" x14ac:dyDescent="0.3">
      <c r="A1666" s="426">
        <v>42040</v>
      </c>
      <c r="B1666">
        <v>223.5</v>
      </c>
      <c r="C1666" t="s">
        <v>2073</v>
      </c>
    </row>
    <row r="1667" spans="1:3" x14ac:dyDescent="0.3">
      <c r="A1667" s="426">
        <v>42041</v>
      </c>
      <c r="B1667">
        <v>220.81</v>
      </c>
      <c r="C1667" t="s">
        <v>2074</v>
      </c>
    </row>
    <row r="1668" spans="1:3" x14ac:dyDescent="0.3">
      <c r="A1668" s="426">
        <v>42042</v>
      </c>
      <c r="B1668">
        <v>226.79</v>
      </c>
      <c r="C1668" t="s">
        <v>2075</v>
      </c>
    </row>
    <row r="1669" spans="1:3" x14ac:dyDescent="0.3">
      <c r="A1669" s="426">
        <v>42043</v>
      </c>
      <c r="B1669">
        <v>225.8</v>
      </c>
      <c r="C1669" t="s">
        <v>2076</v>
      </c>
    </row>
    <row r="1670" spans="1:3" x14ac:dyDescent="0.3">
      <c r="A1670" s="426">
        <v>42044</v>
      </c>
      <c r="B1670">
        <v>221.7</v>
      </c>
      <c r="C1670" t="s">
        <v>2077</v>
      </c>
    </row>
    <row r="1671" spans="1:3" x14ac:dyDescent="0.3">
      <c r="A1671" s="426">
        <v>42045</v>
      </c>
      <c r="B1671">
        <v>219.58</v>
      </c>
      <c r="C1671" t="s">
        <v>2078</v>
      </c>
    </row>
    <row r="1672" spans="1:3" x14ac:dyDescent="0.3">
      <c r="A1672" s="426">
        <v>42046</v>
      </c>
      <c r="B1672">
        <v>222.17</v>
      </c>
      <c r="C1672" t="s">
        <v>2079</v>
      </c>
    </row>
    <row r="1673" spans="1:3" x14ac:dyDescent="0.3">
      <c r="A1673" s="426">
        <v>42047</v>
      </c>
      <c r="B1673">
        <v>221.34</v>
      </c>
      <c r="C1673" t="s">
        <v>2080</v>
      </c>
    </row>
    <row r="1674" spans="1:3" x14ac:dyDescent="0.3">
      <c r="A1674" s="426">
        <v>42048</v>
      </c>
      <c r="B1674">
        <v>232.28</v>
      </c>
      <c r="C1674" t="s">
        <v>2081</v>
      </c>
    </row>
    <row r="1675" spans="1:3" x14ac:dyDescent="0.3">
      <c r="A1675" s="426">
        <v>42049</v>
      </c>
      <c r="B1675">
        <v>246.19</v>
      </c>
      <c r="C1675" t="s">
        <v>2082</v>
      </c>
    </row>
    <row r="1676" spans="1:3" x14ac:dyDescent="0.3">
      <c r="A1676" s="426">
        <v>42050</v>
      </c>
      <c r="B1676">
        <v>250.17</v>
      </c>
      <c r="C1676" t="s">
        <v>2083</v>
      </c>
    </row>
    <row r="1677" spans="1:3" x14ac:dyDescent="0.3">
      <c r="A1677" s="426">
        <v>42051</v>
      </c>
      <c r="B1677">
        <v>234.68</v>
      </c>
      <c r="C1677" t="s">
        <v>2084</v>
      </c>
    </row>
    <row r="1678" spans="1:3" x14ac:dyDescent="0.3">
      <c r="A1678" s="426">
        <v>42052</v>
      </c>
      <c r="B1678">
        <v>239.27</v>
      </c>
      <c r="C1678" t="s">
        <v>2085</v>
      </c>
    </row>
    <row r="1679" spans="1:3" x14ac:dyDescent="0.3">
      <c r="A1679" s="426">
        <v>42053</v>
      </c>
      <c r="B1679">
        <v>240.47</v>
      </c>
      <c r="C1679" t="s">
        <v>2086</v>
      </c>
    </row>
    <row r="1680" spans="1:3" x14ac:dyDescent="0.3">
      <c r="A1680" s="426">
        <v>42054</v>
      </c>
      <c r="B1680">
        <v>238.86</v>
      </c>
      <c r="C1680" t="s">
        <v>2087</v>
      </c>
    </row>
    <row r="1681" spans="1:3" x14ac:dyDescent="0.3">
      <c r="A1681" s="426">
        <v>42055</v>
      </c>
      <c r="B1681">
        <v>243.82</v>
      </c>
      <c r="C1681" t="s">
        <v>2088</v>
      </c>
    </row>
    <row r="1682" spans="1:3" x14ac:dyDescent="0.3">
      <c r="A1682" s="426">
        <v>42056</v>
      </c>
      <c r="B1682">
        <v>245.61</v>
      </c>
      <c r="C1682" t="s">
        <v>2089</v>
      </c>
    </row>
    <row r="1683" spans="1:3" x14ac:dyDescent="0.3">
      <c r="A1683" s="426">
        <v>42057</v>
      </c>
      <c r="B1683">
        <v>242.63</v>
      </c>
      <c r="C1683" t="s">
        <v>2090</v>
      </c>
    </row>
    <row r="1684" spans="1:3" x14ac:dyDescent="0.3">
      <c r="A1684" s="426">
        <v>42058</v>
      </c>
      <c r="B1684">
        <v>237.17</v>
      </c>
      <c r="C1684" t="s">
        <v>2091</v>
      </c>
    </row>
    <row r="1685" spans="1:3" x14ac:dyDescent="0.3">
      <c r="A1685" s="426">
        <v>42059</v>
      </c>
      <c r="B1685">
        <v>239.93</v>
      </c>
      <c r="C1685" t="s">
        <v>2092</v>
      </c>
    </row>
    <row r="1686" spans="1:3" x14ac:dyDescent="0.3">
      <c r="A1686" s="426">
        <v>42060</v>
      </c>
      <c r="B1686">
        <v>239.26</v>
      </c>
      <c r="C1686" t="s">
        <v>2093</v>
      </c>
    </row>
    <row r="1687" spans="1:3" x14ac:dyDescent="0.3">
      <c r="A1687" s="426">
        <v>42061</v>
      </c>
      <c r="B1687">
        <v>237.7</v>
      </c>
      <c r="C1687" t="s">
        <v>2094</v>
      </c>
    </row>
    <row r="1688" spans="1:3" x14ac:dyDescent="0.3">
      <c r="A1688" s="426">
        <v>42062</v>
      </c>
      <c r="B1688">
        <v>250.58</v>
      </c>
      <c r="C1688" t="s">
        <v>2095</v>
      </c>
    </row>
    <row r="1689" spans="1:3" x14ac:dyDescent="0.3">
      <c r="A1689" s="426">
        <v>42063</v>
      </c>
      <c r="B1689">
        <v>253.52</v>
      </c>
      <c r="C1689" t="s">
        <v>2096</v>
      </c>
    </row>
    <row r="1690" spans="1:3" x14ac:dyDescent="0.3">
      <c r="A1690" s="426">
        <v>42064</v>
      </c>
      <c r="B1690">
        <v>252.87</v>
      </c>
      <c r="C1690" t="s">
        <v>2097</v>
      </c>
    </row>
    <row r="1691" spans="1:3" x14ac:dyDescent="0.3">
      <c r="A1691" s="426">
        <v>42065</v>
      </c>
      <c r="B1691">
        <v>262.8</v>
      </c>
      <c r="C1691" t="s">
        <v>2098</v>
      </c>
    </row>
    <row r="1692" spans="1:3" x14ac:dyDescent="0.3">
      <c r="A1692" s="426">
        <v>42066</v>
      </c>
      <c r="B1692">
        <v>275.83999999999997</v>
      </c>
      <c r="C1692" t="s">
        <v>2099</v>
      </c>
    </row>
    <row r="1693" spans="1:3" x14ac:dyDescent="0.3">
      <c r="A1693" s="426">
        <v>42067</v>
      </c>
      <c r="B1693">
        <v>279.54000000000002</v>
      </c>
      <c r="C1693" t="s">
        <v>2100</v>
      </c>
    </row>
    <row r="1694" spans="1:3" x14ac:dyDescent="0.3">
      <c r="A1694" s="426">
        <v>42068</v>
      </c>
      <c r="B1694">
        <v>271.61</v>
      </c>
      <c r="C1694" t="s">
        <v>2101</v>
      </c>
    </row>
    <row r="1695" spans="1:3" x14ac:dyDescent="0.3">
      <c r="A1695" s="426">
        <v>42069</v>
      </c>
      <c r="B1695">
        <v>273.54000000000002</v>
      </c>
      <c r="C1695" t="s">
        <v>2102</v>
      </c>
    </row>
    <row r="1696" spans="1:3" x14ac:dyDescent="0.3">
      <c r="A1696" s="426">
        <v>42070</v>
      </c>
      <c r="B1696">
        <v>274.22000000000003</v>
      </c>
      <c r="C1696" t="s">
        <v>2103</v>
      </c>
    </row>
    <row r="1697" spans="1:3" x14ac:dyDescent="0.3">
      <c r="A1697" s="426">
        <v>42071</v>
      </c>
      <c r="B1697">
        <v>276.02999999999997</v>
      </c>
      <c r="C1697" t="s">
        <v>2104</v>
      </c>
    </row>
    <row r="1698" spans="1:3" x14ac:dyDescent="0.3">
      <c r="A1698" s="426">
        <v>42072</v>
      </c>
      <c r="B1698">
        <v>282.42</v>
      </c>
      <c r="C1698" t="s">
        <v>2105</v>
      </c>
    </row>
    <row r="1699" spans="1:3" x14ac:dyDescent="0.3">
      <c r="A1699" s="426">
        <v>42073</v>
      </c>
      <c r="B1699">
        <v>294.11</v>
      </c>
      <c r="C1699" t="s">
        <v>2106</v>
      </c>
    </row>
    <row r="1700" spans="1:3" x14ac:dyDescent="0.3">
      <c r="A1700" s="426">
        <v>42074</v>
      </c>
      <c r="B1700">
        <v>294.08</v>
      </c>
      <c r="C1700" t="s">
        <v>2107</v>
      </c>
    </row>
    <row r="1701" spans="1:3" x14ac:dyDescent="0.3">
      <c r="A1701" s="426">
        <v>42075</v>
      </c>
      <c r="B1701">
        <v>295.47000000000003</v>
      </c>
      <c r="C1701" t="s">
        <v>2108</v>
      </c>
    </row>
    <row r="1702" spans="1:3" x14ac:dyDescent="0.3">
      <c r="A1702" s="426">
        <v>42076</v>
      </c>
      <c r="B1702">
        <v>291.69</v>
      </c>
      <c r="C1702" t="s">
        <v>2109</v>
      </c>
    </row>
    <row r="1703" spans="1:3" x14ac:dyDescent="0.3">
      <c r="A1703" s="426">
        <v>42077</v>
      </c>
      <c r="B1703">
        <v>284.14999999999998</v>
      </c>
      <c r="C1703" t="s">
        <v>2110</v>
      </c>
    </row>
    <row r="1704" spans="1:3" x14ac:dyDescent="0.3">
      <c r="A1704" s="426">
        <v>42078</v>
      </c>
      <c r="B1704">
        <v>285.16000000000003</v>
      </c>
      <c r="C1704" t="s">
        <v>2111</v>
      </c>
    </row>
    <row r="1705" spans="1:3" x14ac:dyDescent="0.3">
      <c r="A1705" s="426">
        <v>42079</v>
      </c>
      <c r="B1705">
        <v>291.89999999999998</v>
      </c>
      <c r="C1705" t="s">
        <v>2112</v>
      </c>
    </row>
    <row r="1706" spans="1:3" x14ac:dyDescent="0.3">
      <c r="A1706" s="426">
        <v>42080</v>
      </c>
      <c r="B1706">
        <v>290.69</v>
      </c>
      <c r="C1706" t="s">
        <v>2113</v>
      </c>
    </row>
    <row r="1707" spans="1:3" x14ac:dyDescent="0.3">
      <c r="A1707" s="426">
        <v>42081</v>
      </c>
      <c r="B1707">
        <v>275.08999999999997</v>
      </c>
      <c r="C1707" t="s">
        <v>2114</v>
      </c>
    </row>
    <row r="1708" spans="1:3" x14ac:dyDescent="0.3">
      <c r="A1708" s="426">
        <v>42082</v>
      </c>
      <c r="B1708">
        <v>258.12</v>
      </c>
      <c r="C1708" t="s">
        <v>2115</v>
      </c>
    </row>
    <row r="1709" spans="1:3" x14ac:dyDescent="0.3">
      <c r="A1709" s="426">
        <v>42083</v>
      </c>
      <c r="B1709">
        <v>262.61</v>
      </c>
      <c r="C1709" t="s">
        <v>2116</v>
      </c>
    </row>
    <row r="1710" spans="1:3" x14ac:dyDescent="0.3">
      <c r="A1710" s="426">
        <v>42084</v>
      </c>
      <c r="B1710">
        <v>261.22000000000003</v>
      </c>
      <c r="C1710" t="s">
        <v>2117</v>
      </c>
    </row>
    <row r="1711" spans="1:3" x14ac:dyDescent="0.3">
      <c r="A1711" s="426">
        <v>42085</v>
      </c>
      <c r="B1711">
        <v>263.2</v>
      </c>
      <c r="C1711" t="s">
        <v>2118</v>
      </c>
    </row>
    <row r="1712" spans="1:3" x14ac:dyDescent="0.3">
      <c r="A1712" s="426">
        <v>42086</v>
      </c>
      <c r="B1712">
        <v>268.48</v>
      </c>
      <c r="C1712" t="s">
        <v>2119</v>
      </c>
    </row>
    <row r="1713" spans="1:3" x14ac:dyDescent="0.3">
      <c r="A1713" s="426">
        <v>42087</v>
      </c>
      <c r="B1713">
        <v>257.33</v>
      </c>
      <c r="C1713" t="s">
        <v>2120</v>
      </c>
    </row>
    <row r="1714" spans="1:3" x14ac:dyDescent="0.3">
      <c r="A1714" s="426">
        <v>42088</v>
      </c>
      <c r="B1714">
        <v>245.78</v>
      </c>
      <c r="C1714" t="s">
        <v>2121</v>
      </c>
    </row>
    <row r="1715" spans="1:3" x14ac:dyDescent="0.3">
      <c r="A1715" s="426">
        <v>42089</v>
      </c>
      <c r="B1715">
        <v>250.04</v>
      </c>
      <c r="C1715" t="s">
        <v>2122</v>
      </c>
    </row>
    <row r="1716" spans="1:3" x14ac:dyDescent="0.3">
      <c r="A1716" s="426">
        <v>42090</v>
      </c>
      <c r="B1716">
        <v>248.78</v>
      </c>
      <c r="C1716" t="s">
        <v>2123</v>
      </c>
    </row>
    <row r="1717" spans="1:3" x14ac:dyDescent="0.3">
      <c r="A1717" s="426">
        <v>42091</v>
      </c>
      <c r="B1717">
        <v>252.66</v>
      </c>
      <c r="C1717" t="s">
        <v>2124</v>
      </c>
    </row>
    <row r="1718" spans="1:3" x14ac:dyDescent="0.3">
      <c r="A1718" s="426">
        <v>42092</v>
      </c>
      <c r="B1718">
        <v>246.4</v>
      </c>
      <c r="C1718" t="s">
        <v>2125</v>
      </c>
    </row>
    <row r="1719" spans="1:3" x14ac:dyDescent="0.3">
      <c r="A1719" s="426">
        <v>42093</v>
      </c>
      <c r="B1719">
        <v>246.04</v>
      </c>
      <c r="C1719" t="s">
        <v>2126</v>
      </c>
    </row>
    <row r="1720" spans="1:3" x14ac:dyDescent="0.3">
      <c r="A1720" s="426">
        <v>42094</v>
      </c>
      <c r="B1720">
        <v>246.73</v>
      </c>
      <c r="C1720" t="s">
        <v>2127</v>
      </c>
    </row>
    <row r="1721" spans="1:3" x14ac:dyDescent="0.3">
      <c r="A1721" s="426">
        <v>42095</v>
      </c>
      <c r="B1721">
        <v>244.94</v>
      </c>
      <c r="C1721" t="s">
        <v>2128</v>
      </c>
    </row>
    <row r="1722" spans="1:3" x14ac:dyDescent="0.3">
      <c r="A1722" s="426">
        <v>42096</v>
      </c>
      <c r="B1722">
        <v>249.47</v>
      </c>
      <c r="C1722" t="s">
        <v>2129</v>
      </c>
    </row>
    <row r="1723" spans="1:3" x14ac:dyDescent="0.3">
      <c r="A1723" s="426">
        <v>42097</v>
      </c>
      <c r="B1723">
        <v>254.7</v>
      </c>
      <c r="C1723" t="s">
        <v>2130</v>
      </c>
    </row>
    <row r="1724" spans="1:3" x14ac:dyDescent="0.3">
      <c r="A1724" s="426">
        <v>42098</v>
      </c>
      <c r="B1724">
        <v>254.68</v>
      </c>
      <c r="C1724" t="s">
        <v>2131</v>
      </c>
    </row>
    <row r="1725" spans="1:3" x14ac:dyDescent="0.3">
      <c r="A1725" s="426">
        <v>42099</v>
      </c>
      <c r="B1725">
        <v>257.05</v>
      </c>
      <c r="C1725" t="s">
        <v>2132</v>
      </c>
    </row>
    <row r="1726" spans="1:3" x14ac:dyDescent="0.3">
      <c r="A1726" s="426">
        <v>42100</v>
      </c>
      <c r="B1726">
        <v>258.61</v>
      </c>
      <c r="C1726" t="s">
        <v>2133</v>
      </c>
    </row>
    <row r="1727" spans="1:3" x14ac:dyDescent="0.3">
      <c r="A1727" s="426">
        <v>42101</v>
      </c>
      <c r="B1727">
        <v>255.52</v>
      </c>
      <c r="C1727" t="s">
        <v>2134</v>
      </c>
    </row>
    <row r="1728" spans="1:3" x14ac:dyDescent="0.3">
      <c r="A1728" s="426">
        <v>42102</v>
      </c>
      <c r="B1728">
        <v>250.49</v>
      </c>
      <c r="C1728" t="s">
        <v>2135</v>
      </c>
    </row>
    <row r="1729" spans="1:3" x14ac:dyDescent="0.3">
      <c r="A1729" s="426">
        <v>42103</v>
      </c>
      <c r="B1729">
        <v>244.86</v>
      </c>
      <c r="C1729" t="s">
        <v>2136</v>
      </c>
    </row>
    <row r="1730" spans="1:3" x14ac:dyDescent="0.3">
      <c r="A1730" s="426">
        <v>42104</v>
      </c>
      <c r="B1730">
        <v>239.07</v>
      </c>
      <c r="C1730" t="s">
        <v>2137</v>
      </c>
    </row>
    <row r="1731" spans="1:3" x14ac:dyDescent="0.3">
      <c r="A1731" s="426">
        <v>42105</v>
      </c>
      <c r="B1731">
        <v>237.11</v>
      </c>
      <c r="C1731" t="s">
        <v>2138</v>
      </c>
    </row>
    <row r="1732" spans="1:3" x14ac:dyDescent="0.3">
      <c r="A1732" s="426">
        <v>42106</v>
      </c>
      <c r="B1732">
        <v>237.75</v>
      </c>
      <c r="C1732" t="s">
        <v>2139</v>
      </c>
    </row>
    <row r="1733" spans="1:3" x14ac:dyDescent="0.3">
      <c r="A1733" s="426">
        <v>42107</v>
      </c>
      <c r="B1733">
        <v>233.81</v>
      </c>
      <c r="C1733" t="s">
        <v>2140</v>
      </c>
    </row>
    <row r="1734" spans="1:3" x14ac:dyDescent="0.3">
      <c r="A1734" s="426">
        <v>42108</v>
      </c>
      <c r="B1734">
        <v>221.73</v>
      </c>
      <c r="C1734" t="s">
        <v>2141</v>
      </c>
    </row>
    <row r="1735" spans="1:3" x14ac:dyDescent="0.3">
      <c r="A1735" s="426">
        <v>42109</v>
      </c>
      <c r="B1735">
        <v>222.56</v>
      </c>
      <c r="C1735" t="s">
        <v>2142</v>
      </c>
    </row>
    <row r="1736" spans="1:3" x14ac:dyDescent="0.3">
      <c r="A1736" s="426">
        <v>42110</v>
      </c>
      <c r="B1736">
        <v>228.45</v>
      </c>
      <c r="C1736" t="s">
        <v>2143</v>
      </c>
    </row>
    <row r="1737" spans="1:3" x14ac:dyDescent="0.3">
      <c r="A1737" s="426">
        <v>42111</v>
      </c>
      <c r="B1737">
        <v>225.69</v>
      </c>
      <c r="C1737" t="s">
        <v>2144</v>
      </c>
    </row>
    <row r="1738" spans="1:3" x14ac:dyDescent="0.3">
      <c r="A1738" s="426">
        <v>42112</v>
      </c>
      <c r="B1738">
        <v>224.25</v>
      </c>
      <c r="C1738" t="s">
        <v>2145</v>
      </c>
    </row>
    <row r="1739" spans="1:3" x14ac:dyDescent="0.3">
      <c r="A1739" s="426">
        <v>42113</v>
      </c>
      <c r="B1739">
        <v>225.53</v>
      </c>
      <c r="C1739" t="s">
        <v>2146</v>
      </c>
    </row>
    <row r="1740" spans="1:3" x14ac:dyDescent="0.3">
      <c r="A1740" s="426">
        <v>42114</v>
      </c>
      <c r="B1740">
        <v>225.13</v>
      </c>
      <c r="C1740" t="s">
        <v>2147</v>
      </c>
    </row>
    <row r="1741" spans="1:3" x14ac:dyDescent="0.3">
      <c r="A1741" s="426">
        <v>42115</v>
      </c>
      <c r="B1741">
        <v>227.8</v>
      </c>
      <c r="C1741" t="s">
        <v>2148</v>
      </c>
    </row>
    <row r="1742" spans="1:3" x14ac:dyDescent="0.3">
      <c r="A1742" s="426">
        <v>42116</v>
      </c>
      <c r="B1742">
        <v>236.45</v>
      </c>
      <c r="C1742" t="s">
        <v>2149</v>
      </c>
    </row>
    <row r="1743" spans="1:3" x14ac:dyDescent="0.3">
      <c r="A1743" s="426">
        <v>42117</v>
      </c>
      <c r="B1743">
        <v>236.36</v>
      </c>
      <c r="C1743" t="s">
        <v>2150</v>
      </c>
    </row>
    <row r="1744" spans="1:3" x14ac:dyDescent="0.3">
      <c r="A1744" s="426">
        <v>42118</v>
      </c>
      <c r="B1744">
        <v>233.4</v>
      </c>
      <c r="C1744" t="s">
        <v>2151</v>
      </c>
    </row>
    <row r="1745" spans="1:3" x14ac:dyDescent="0.3">
      <c r="A1745" s="426">
        <v>42119</v>
      </c>
      <c r="B1745">
        <v>230.39</v>
      </c>
      <c r="C1745" t="s">
        <v>2152</v>
      </c>
    </row>
    <row r="1746" spans="1:3" x14ac:dyDescent="0.3">
      <c r="A1746" s="426">
        <v>42120</v>
      </c>
      <c r="B1746">
        <v>220.06</v>
      </c>
      <c r="C1746" t="s">
        <v>2153</v>
      </c>
    </row>
    <row r="1747" spans="1:3" x14ac:dyDescent="0.3">
      <c r="A1747" s="426">
        <v>42121</v>
      </c>
      <c r="B1747">
        <v>222.15</v>
      </c>
      <c r="C1747" t="s">
        <v>2154</v>
      </c>
    </row>
    <row r="1748" spans="1:3" x14ac:dyDescent="0.3">
      <c r="A1748" s="426">
        <v>42122</v>
      </c>
      <c r="B1748">
        <v>227.39</v>
      </c>
      <c r="C1748" t="s">
        <v>2155</v>
      </c>
    </row>
    <row r="1749" spans="1:3" x14ac:dyDescent="0.3">
      <c r="A1749" s="426">
        <v>42123</v>
      </c>
      <c r="B1749">
        <v>227.3</v>
      </c>
      <c r="C1749" t="s">
        <v>2156</v>
      </c>
    </row>
    <row r="1750" spans="1:3" x14ac:dyDescent="0.3">
      <c r="A1750" s="426">
        <v>42124</v>
      </c>
      <c r="B1750">
        <v>232.83</v>
      </c>
      <c r="C1750" t="s">
        <v>2157</v>
      </c>
    </row>
    <row r="1751" spans="1:3" x14ac:dyDescent="0.3">
      <c r="A1751" s="426">
        <v>42125</v>
      </c>
      <c r="B1751">
        <v>236.33</v>
      </c>
      <c r="C1751" t="s">
        <v>2158</v>
      </c>
    </row>
    <row r="1752" spans="1:3" x14ac:dyDescent="0.3">
      <c r="A1752" s="426">
        <v>42126</v>
      </c>
      <c r="B1752">
        <v>236.22</v>
      </c>
      <c r="C1752" t="s">
        <v>2159</v>
      </c>
    </row>
    <row r="1753" spans="1:3" x14ac:dyDescent="0.3">
      <c r="A1753" s="426">
        <v>42127</v>
      </c>
      <c r="B1753">
        <v>240.85</v>
      </c>
      <c r="C1753" t="s">
        <v>2160</v>
      </c>
    </row>
    <row r="1754" spans="1:3" x14ac:dyDescent="0.3">
      <c r="A1754" s="426">
        <v>42128</v>
      </c>
      <c r="B1754">
        <v>241.04</v>
      </c>
      <c r="C1754" t="s">
        <v>2161</v>
      </c>
    </row>
    <row r="1755" spans="1:3" x14ac:dyDescent="0.3">
      <c r="A1755" s="426">
        <v>42129</v>
      </c>
      <c r="B1755">
        <v>237.02</v>
      </c>
      <c r="C1755" t="s">
        <v>2162</v>
      </c>
    </row>
    <row r="1756" spans="1:3" x14ac:dyDescent="0.3">
      <c r="A1756" s="426">
        <v>42130</v>
      </c>
      <c r="B1756">
        <v>236.09</v>
      </c>
      <c r="C1756" t="s">
        <v>2163</v>
      </c>
    </row>
    <row r="1757" spans="1:3" x14ac:dyDescent="0.3">
      <c r="A1757" s="426">
        <v>42131</v>
      </c>
      <c r="B1757">
        <v>233.14</v>
      </c>
      <c r="C1757" t="s">
        <v>2164</v>
      </c>
    </row>
    <row r="1758" spans="1:3" x14ac:dyDescent="0.3">
      <c r="A1758" s="426">
        <v>42132</v>
      </c>
      <c r="B1758">
        <v>240.89</v>
      </c>
      <c r="C1758" t="s">
        <v>2165</v>
      </c>
    </row>
    <row r="1759" spans="1:3" x14ac:dyDescent="0.3">
      <c r="A1759" s="426">
        <v>42133</v>
      </c>
      <c r="B1759">
        <v>243.58</v>
      </c>
      <c r="C1759" t="s">
        <v>2166</v>
      </c>
    </row>
    <row r="1760" spans="1:3" x14ac:dyDescent="0.3">
      <c r="A1760" s="426">
        <v>42134</v>
      </c>
      <c r="B1760">
        <v>242.6</v>
      </c>
      <c r="C1760" t="s">
        <v>2167</v>
      </c>
    </row>
    <row r="1761" spans="1:3" x14ac:dyDescent="0.3">
      <c r="A1761" s="426">
        <v>42135</v>
      </c>
      <c r="B1761">
        <v>242.49</v>
      </c>
      <c r="C1761" t="s">
        <v>2168</v>
      </c>
    </row>
    <row r="1762" spans="1:3" x14ac:dyDescent="0.3">
      <c r="A1762" s="426">
        <v>42136</v>
      </c>
      <c r="B1762">
        <v>243.21</v>
      </c>
      <c r="C1762" t="s">
        <v>2169</v>
      </c>
    </row>
    <row r="1763" spans="1:3" x14ac:dyDescent="0.3">
      <c r="A1763" s="426">
        <v>42137</v>
      </c>
      <c r="B1763">
        <v>243.55</v>
      </c>
      <c r="C1763" t="s">
        <v>2170</v>
      </c>
    </row>
    <row r="1764" spans="1:3" x14ac:dyDescent="0.3">
      <c r="A1764" s="426">
        <v>42138</v>
      </c>
      <c r="B1764">
        <v>243.75</v>
      </c>
      <c r="C1764" t="s">
        <v>2171</v>
      </c>
    </row>
    <row r="1765" spans="1:3" x14ac:dyDescent="0.3">
      <c r="A1765" s="426">
        <v>42139</v>
      </c>
      <c r="B1765">
        <v>238.82</v>
      </c>
      <c r="C1765" t="s">
        <v>2172</v>
      </c>
    </row>
    <row r="1766" spans="1:3" x14ac:dyDescent="0.3">
      <c r="A1766" s="426">
        <v>42140</v>
      </c>
      <c r="B1766">
        <v>239.12</v>
      </c>
      <c r="C1766" t="s">
        <v>2173</v>
      </c>
    </row>
    <row r="1767" spans="1:3" x14ac:dyDescent="0.3">
      <c r="A1767" s="426">
        <v>42141</v>
      </c>
      <c r="B1767">
        <v>238.75</v>
      </c>
      <c r="C1767" t="s">
        <v>2174</v>
      </c>
    </row>
    <row r="1768" spans="1:3" x14ac:dyDescent="0.3">
      <c r="A1768" s="426">
        <v>42142</v>
      </c>
      <c r="B1768">
        <v>237.24</v>
      </c>
      <c r="C1768" t="s">
        <v>2175</v>
      </c>
    </row>
    <row r="1769" spans="1:3" x14ac:dyDescent="0.3">
      <c r="A1769" s="426">
        <v>42143</v>
      </c>
      <c r="B1769">
        <v>234.32</v>
      </c>
      <c r="C1769" t="s">
        <v>2176</v>
      </c>
    </row>
    <row r="1770" spans="1:3" x14ac:dyDescent="0.3">
      <c r="A1770" s="426">
        <v>42144</v>
      </c>
      <c r="B1770">
        <v>234.9</v>
      </c>
      <c r="C1770" t="s">
        <v>2177</v>
      </c>
    </row>
    <row r="1771" spans="1:3" x14ac:dyDescent="0.3">
      <c r="A1771" s="426">
        <v>42145</v>
      </c>
      <c r="B1771">
        <v>236.41</v>
      </c>
      <c r="C1771" t="s">
        <v>2178</v>
      </c>
    </row>
    <row r="1772" spans="1:3" x14ac:dyDescent="0.3">
      <c r="A1772" s="426">
        <v>42146</v>
      </c>
      <c r="B1772">
        <v>238.04</v>
      </c>
      <c r="C1772" t="s">
        <v>2179</v>
      </c>
    </row>
    <row r="1773" spans="1:3" x14ac:dyDescent="0.3">
      <c r="A1773" s="426">
        <v>42147</v>
      </c>
      <c r="B1773">
        <v>240.65</v>
      </c>
      <c r="C1773" t="s">
        <v>2180</v>
      </c>
    </row>
    <row r="1774" spans="1:3" x14ac:dyDescent="0.3">
      <c r="A1774" s="426">
        <v>42148</v>
      </c>
      <c r="B1774">
        <v>240.88</v>
      </c>
      <c r="C1774" t="s">
        <v>2181</v>
      </c>
    </row>
    <row r="1775" spans="1:3" x14ac:dyDescent="0.3">
      <c r="A1775" s="426">
        <v>42149</v>
      </c>
      <c r="B1775">
        <v>239.51</v>
      </c>
      <c r="C1775" t="s">
        <v>2182</v>
      </c>
    </row>
    <row r="1776" spans="1:3" x14ac:dyDescent="0.3">
      <c r="A1776" s="426">
        <v>42150</v>
      </c>
      <c r="B1776">
        <v>238.12</v>
      </c>
      <c r="C1776" t="s">
        <v>2183</v>
      </c>
    </row>
    <row r="1777" spans="1:3" x14ac:dyDescent="0.3">
      <c r="A1777" s="426">
        <v>42151</v>
      </c>
      <c r="B1777">
        <v>239.03</v>
      </c>
      <c r="C1777" t="s">
        <v>2184</v>
      </c>
    </row>
    <row r="1778" spans="1:3" x14ac:dyDescent="0.3">
      <c r="A1778" s="426">
        <v>42152</v>
      </c>
      <c r="B1778">
        <v>238.61</v>
      </c>
      <c r="C1778" t="s">
        <v>2185</v>
      </c>
    </row>
    <row r="1779" spans="1:3" x14ac:dyDescent="0.3">
      <c r="A1779" s="426">
        <v>42153</v>
      </c>
      <c r="B1779">
        <v>238.35</v>
      </c>
      <c r="C1779" t="s">
        <v>2186</v>
      </c>
    </row>
    <row r="1780" spans="1:3" x14ac:dyDescent="0.3">
      <c r="A1780" s="426">
        <v>42154</v>
      </c>
      <c r="B1780">
        <v>235.75</v>
      </c>
      <c r="C1780" t="s">
        <v>2187</v>
      </c>
    </row>
    <row r="1781" spans="1:3" x14ac:dyDescent="0.3">
      <c r="A1781" s="426">
        <v>42155</v>
      </c>
      <c r="B1781">
        <v>233.76</v>
      </c>
      <c r="C1781" t="s">
        <v>2188</v>
      </c>
    </row>
    <row r="1782" spans="1:3" x14ac:dyDescent="0.3">
      <c r="A1782" s="426">
        <v>42156</v>
      </c>
      <c r="B1782">
        <v>228.08</v>
      </c>
      <c r="C1782" t="s">
        <v>2189</v>
      </c>
    </row>
    <row r="1783" spans="1:3" x14ac:dyDescent="0.3">
      <c r="A1783" s="426">
        <v>42157</v>
      </c>
      <c r="B1783">
        <v>225.61</v>
      </c>
      <c r="C1783" t="s">
        <v>2190</v>
      </c>
    </row>
    <row r="1784" spans="1:3" x14ac:dyDescent="0.3">
      <c r="A1784" s="426">
        <v>42158</v>
      </c>
      <c r="B1784">
        <v>227.59</v>
      </c>
      <c r="C1784" t="s">
        <v>2191</v>
      </c>
    </row>
    <row r="1785" spans="1:3" x14ac:dyDescent="0.3">
      <c r="A1785" s="426">
        <v>42159</v>
      </c>
      <c r="B1785">
        <v>226.9</v>
      </c>
      <c r="C1785" t="s">
        <v>2192</v>
      </c>
    </row>
    <row r="1786" spans="1:3" x14ac:dyDescent="0.3">
      <c r="A1786" s="426">
        <v>42160</v>
      </c>
      <c r="B1786">
        <v>226.14</v>
      </c>
      <c r="C1786" t="s">
        <v>2193</v>
      </c>
    </row>
    <row r="1787" spans="1:3" x14ac:dyDescent="0.3">
      <c r="A1787" s="426">
        <v>42161</v>
      </c>
      <c r="B1787">
        <v>226.96</v>
      </c>
      <c r="C1787" t="s">
        <v>2194</v>
      </c>
    </row>
    <row r="1788" spans="1:3" x14ac:dyDescent="0.3">
      <c r="A1788" s="426">
        <v>42162</v>
      </c>
      <c r="B1788">
        <v>226.17</v>
      </c>
      <c r="C1788" t="s">
        <v>2195</v>
      </c>
    </row>
    <row r="1789" spans="1:3" x14ac:dyDescent="0.3">
      <c r="A1789" s="426">
        <v>42163</v>
      </c>
      <c r="B1789">
        <v>227.17</v>
      </c>
      <c r="C1789" t="s">
        <v>2196</v>
      </c>
    </row>
    <row r="1790" spans="1:3" x14ac:dyDescent="0.3">
      <c r="A1790" s="426">
        <v>42164</v>
      </c>
      <c r="B1790">
        <v>231.13</v>
      </c>
      <c r="C1790" t="s">
        <v>2197</v>
      </c>
    </row>
    <row r="1791" spans="1:3" x14ac:dyDescent="0.3">
      <c r="A1791" s="426">
        <v>42165</v>
      </c>
      <c r="B1791">
        <v>231.78</v>
      </c>
      <c r="C1791" t="s">
        <v>2198</v>
      </c>
    </row>
    <row r="1792" spans="1:3" x14ac:dyDescent="0.3">
      <c r="A1792" s="426">
        <v>42166</v>
      </c>
      <c r="B1792">
        <v>231.56</v>
      </c>
      <c r="C1792" t="s">
        <v>2199</v>
      </c>
    </row>
    <row r="1793" spans="1:3" x14ac:dyDescent="0.3">
      <c r="A1793" s="426">
        <v>42167</v>
      </c>
      <c r="B1793">
        <v>232.2</v>
      </c>
      <c r="C1793" t="s">
        <v>2200</v>
      </c>
    </row>
    <row r="1794" spans="1:3" x14ac:dyDescent="0.3">
      <c r="A1794" s="426">
        <v>42168</v>
      </c>
      <c r="B1794">
        <v>232.22</v>
      </c>
      <c r="C1794" t="s">
        <v>2201</v>
      </c>
    </row>
    <row r="1795" spans="1:3" x14ac:dyDescent="0.3">
      <c r="A1795" s="426">
        <v>42169</v>
      </c>
      <c r="B1795">
        <v>234.76</v>
      </c>
      <c r="C1795" t="s">
        <v>2202</v>
      </c>
    </row>
    <row r="1796" spans="1:3" x14ac:dyDescent="0.3">
      <c r="A1796" s="426">
        <v>42170</v>
      </c>
      <c r="B1796">
        <v>236.47</v>
      </c>
      <c r="C1796" t="s">
        <v>2203</v>
      </c>
    </row>
    <row r="1797" spans="1:3" x14ac:dyDescent="0.3">
      <c r="A1797" s="426">
        <v>42171</v>
      </c>
      <c r="B1797">
        <v>242.65</v>
      </c>
      <c r="C1797" t="s">
        <v>2204</v>
      </c>
    </row>
    <row r="1798" spans="1:3" x14ac:dyDescent="0.3">
      <c r="A1798" s="426">
        <v>42172</v>
      </c>
      <c r="B1798">
        <v>251.68</v>
      </c>
      <c r="C1798" t="s">
        <v>2205</v>
      </c>
    </row>
    <row r="1799" spans="1:3" x14ac:dyDescent="0.3">
      <c r="A1799" s="426">
        <v>42173</v>
      </c>
      <c r="B1799">
        <v>249.62</v>
      </c>
      <c r="C1799" t="s">
        <v>2206</v>
      </c>
    </row>
    <row r="1800" spans="1:3" x14ac:dyDescent="0.3">
      <c r="A1800" s="426">
        <v>42174</v>
      </c>
      <c r="B1800">
        <v>249.28</v>
      </c>
      <c r="C1800" t="s">
        <v>2207</v>
      </c>
    </row>
    <row r="1801" spans="1:3" x14ac:dyDescent="0.3">
      <c r="A1801" s="426">
        <v>42175</v>
      </c>
      <c r="B1801">
        <v>244.54</v>
      </c>
      <c r="C1801" t="s">
        <v>2208</v>
      </c>
    </row>
    <row r="1802" spans="1:3" x14ac:dyDescent="0.3">
      <c r="A1802" s="426">
        <v>42176</v>
      </c>
      <c r="B1802">
        <v>246.1</v>
      </c>
      <c r="C1802" t="s">
        <v>2209</v>
      </c>
    </row>
    <row r="1803" spans="1:3" x14ac:dyDescent="0.3">
      <c r="A1803" s="426">
        <v>42177</v>
      </c>
      <c r="B1803">
        <v>246.9</v>
      </c>
      <c r="C1803" t="s">
        <v>2210</v>
      </c>
    </row>
    <row r="1804" spans="1:3" x14ac:dyDescent="0.3">
      <c r="A1804" s="426">
        <v>42178</v>
      </c>
      <c r="B1804">
        <v>247.05</v>
      </c>
      <c r="C1804" t="s">
        <v>2211</v>
      </c>
    </row>
    <row r="1805" spans="1:3" x14ac:dyDescent="0.3">
      <c r="A1805" s="426">
        <v>42179</v>
      </c>
      <c r="B1805">
        <v>245.2</v>
      </c>
      <c r="C1805" t="s">
        <v>2212</v>
      </c>
    </row>
    <row r="1806" spans="1:3" x14ac:dyDescent="0.3">
      <c r="A1806" s="426">
        <v>42180</v>
      </c>
      <c r="B1806">
        <v>244.36</v>
      </c>
      <c r="C1806" t="s">
        <v>2213</v>
      </c>
    </row>
    <row r="1807" spans="1:3" x14ac:dyDescent="0.3">
      <c r="A1807" s="426">
        <v>42181</v>
      </c>
      <c r="B1807">
        <v>244.53</v>
      </c>
      <c r="C1807" t="s">
        <v>2214</v>
      </c>
    </row>
    <row r="1808" spans="1:3" x14ac:dyDescent="0.3">
      <c r="A1808" s="426">
        <v>42182</v>
      </c>
      <c r="B1808">
        <v>248.04</v>
      </c>
      <c r="C1808" t="s">
        <v>2215</v>
      </c>
    </row>
    <row r="1809" spans="1:3" x14ac:dyDescent="0.3">
      <c r="A1809" s="426">
        <v>42183</v>
      </c>
      <c r="B1809">
        <v>250.51</v>
      </c>
      <c r="C1809" t="s">
        <v>2216</v>
      </c>
    </row>
    <row r="1810" spans="1:3" x14ac:dyDescent="0.3">
      <c r="A1810" s="426">
        <v>42184</v>
      </c>
      <c r="B1810">
        <v>254.25</v>
      </c>
      <c r="C1810" t="s">
        <v>2217</v>
      </c>
    </row>
    <row r="1811" spans="1:3" x14ac:dyDescent="0.3">
      <c r="A1811" s="426">
        <v>42185</v>
      </c>
      <c r="B1811">
        <v>263.29000000000002</v>
      </c>
      <c r="C1811" t="s">
        <v>2218</v>
      </c>
    </row>
    <row r="1812" spans="1:3" x14ac:dyDescent="0.3">
      <c r="A1812" s="426">
        <v>42186</v>
      </c>
      <c r="B1812">
        <v>260.75</v>
      </c>
      <c r="C1812" t="s">
        <v>2219</v>
      </c>
    </row>
    <row r="1813" spans="1:3" x14ac:dyDescent="0.3">
      <c r="A1813" s="426">
        <v>42187</v>
      </c>
      <c r="B1813">
        <v>258.75</v>
      </c>
      <c r="C1813" t="s">
        <v>2220</v>
      </c>
    </row>
    <row r="1814" spans="1:3" x14ac:dyDescent="0.3">
      <c r="A1814" s="426">
        <v>42188</v>
      </c>
      <c r="B1814">
        <v>257.02</v>
      </c>
      <c r="C1814" t="s">
        <v>2221</v>
      </c>
    </row>
    <row r="1815" spans="1:3" x14ac:dyDescent="0.3">
      <c r="A1815" s="426">
        <v>42189</v>
      </c>
      <c r="B1815">
        <v>259.27</v>
      </c>
      <c r="C1815" t="s">
        <v>2222</v>
      </c>
    </row>
    <row r="1816" spans="1:3" x14ac:dyDescent="0.3">
      <c r="A1816" s="426">
        <v>42190</v>
      </c>
      <c r="B1816">
        <v>264.7</v>
      </c>
      <c r="C1816" t="s">
        <v>2223</v>
      </c>
    </row>
    <row r="1817" spans="1:3" x14ac:dyDescent="0.3">
      <c r="A1817" s="426">
        <v>42191</v>
      </c>
      <c r="B1817">
        <v>272.44</v>
      </c>
      <c r="C1817" t="s">
        <v>2224</v>
      </c>
    </row>
    <row r="1818" spans="1:3" x14ac:dyDescent="0.3">
      <c r="A1818" s="426">
        <v>42192</v>
      </c>
      <c r="B1818">
        <v>269.16000000000003</v>
      </c>
      <c r="C1818" t="s">
        <v>2225</v>
      </c>
    </row>
    <row r="1819" spans="1:3" x14ac:dyDescent="0.3">
      <c r="A1819" s="426">
        <v>42193</v>
      </c>
      <c r="B1819">
        <v>270.08999999999997</v>
      </c>
      <c r="C1819" t="s">
        <v>2226</v>
      </c>
    </row>
    <row r="1820" spans="1:3" x14ac:dyDescent="0.3">
      <c r="A1820" s="426">
        <v>42194</v>
      </c>
      <c r="B1820">
        <v>271.20999999999998</v>
      </c>
      <c r="C1820" t="s">
        <v>2227</v>
      </c>
    </row>
    <row r="1821" spans="1:3" x14ac:dyDescent="0.3">
      <c r="A1821" s="426">
        <v>42195</v>
      </c>
      <c r="B1821">
        <v>281.69</v>
      </c>
      <c r="C1821" t="s">
        <v>2228</v>
      </c>
    </row>
    <row r="1822" spans="1:3" x14ac:dyDescent="0.3">
      <c r="A1822" s="426">
        <v>42196</v>
      </c>
      <c r="B1822">
        <v>292.13</v>
      </c>
      <c r="C1822" t="s">
        <v>2229</v>
      </c>
    </row>
    <row r="1823" spans="1:3" x14ac:dyDescent="0.3">
      <c r="A1823" s="426">
        <v>42197</v>
      </c>
      <c r="B1823">
        <v>305</v>
      </c>
      <c r="C1823" t="s">
        <v>2230</v>
      </c>
    </row>
    <row r="1824" spans="1:3" x14ac:dyDescent="0.3">
      <c r="A1824" s="426">
        <v>42198</v>
      </c>
      <c r="B1824">
        <v>294.45</v>
      </c>
      <c r="C1824" t="s">
        <v>2231</v>
      </c>
    </row>
    <row r="1825" spans="1:3" x14ac:dyDescent="0.3">
      <c r="A1825" s="426">
        <v>42199</v>
      </c>
      <c r="B1825">
        <v>291.83</v>
      </c>
      <c r="C1825" t="s">
        <v>2232</v>
      </c>
    </row>
    <row r="1826" spans="1:3" x14ac:dyDescent="0.3">
      <c r="A1826" s="426">
        <v>42200</v>
      </c>
      <c r="B1826">
        <v>291.85000000000002</v>
      </c>
      <c r="C1826" t="s">
        <v>2233</v>
      </c>
    </row>
    <row r="1827" spans="1:3" x14ac:dyDescent="0.3">
      <c r="A1827" s="426">
        <v>42201</v>
      </c>
      <c r="B1827">
        <v>283.33</v>
      </c>
      <c r="C1827" t="s">
        <v>2234</v>
      </c>
    </row>
    <row r="1828" spans="1:3" x14ac:dyDescent="0.3">
      <c r="A1828" s="426">
        <v>42202</v>
      </c>
      <c r="B1828">
        <v>278.23</v>
      </c>
      <c r="C1828" t="s">
        <v>2235</v>
      </c>
    </row>
    <row r="1829" spans="1:3" x14ac:dyDescent="0.3">
      <c r="A1829" s="426">
        <v>42203</v>
      </c>
      <c r="B1829">
        <v>278.17</v>
      </c>
      <c r="C1829" t="s">
        <v>2236</v>
      </c>
    </row>
    <row r="1830" spans="1:3" x14ac:dyDescent="0.3">
      <c r="A1830" s="426">
        <v>42204</v>
      </c>
      <c r="B1830">
        <v>275.83999999999997</v>
      </c>
      <c r="C1830" t="s">
        <v>2237</v>
      </c>
    </row>
    <row r="1831" spans="1:3" x14ac:dyDescent="0.3">
      <c r="A1831" s="426">
        <v>42205</v>
      </c>
      <c r="B1831">
        <v>277.77999999999997</v>
      </c>
      <c r="C1831" t="s">
        <v>2238</v>
      </c>
    </row>
    <row r="1832" spans="1:3" x14ac:dyDescent="0.3">
      <c r="A1832" s="426">
        <v>42206</v>
      </c>
      <c r="B1832">
        <v>280.32</v>
      </c>
      <c r="C1832" t="s">
        <v>2239</v>
      </c>
    </row>
    <row r="1833" spans="1:3" x14ac:dyDescent="0.3">
      <c r="A1833" s="426">
        <v>42207</v>
      </c>
      <c r="B1833">
        <v>277.7</v>
      </c>
      <c r="C1833" t="s">
        <v>2240</v>
      </c>
    </row>
    <row r="1834" spans="1:3" x14ac:dyDescent="0.3">
      <c r="A1834" s="426">
        <v>42208</v>
      </c>
      <c r="B1834">
        <v>278.73</v>
      </c>
      <c r="C1834" t="s">
        <v>2241</v>
      </c>
    </row>
    <row r="1835" spans="1:3" x14ac:dyDescent="0.3">
      <c r="A1835" s="426">
        <v>42209</v>
      </c>
      <c r="B1835">
        <v>282.91000000000003</v>
      </c>
      <c r="C1835" t="s">
        <v>2242</v>
      </c>
    </row>
    <row r="1836" spans="1:3" x14ac:dyDescent="0.3">
      <c r="A1836" s="426">
        <v>42210</v>
      </c>
      <c r="B1836">
        <v>289.3</v>
      </c>
      <c r="C1836" t="s">
        <v>2243</v>
      </c>
    </row>
    <row r="1837" spans="1:3" x14ac:dyDescent="0.3">
      <c r="A1837" s="426">
        <v>42211</v>
      </c>
      <c r="B1837">
        <v>291.45999999999998</v>
      </c>
      <c r="C1837" t="s">
        <v>2244</v>
      </c>
    </row>
    <row r="1838" spans="1:3" x14ac:dyDescent="0.3">
      <c r="A1838" s="426">
        <v>42212</v>
      </c>
      <c r="B1838">
        <v>291.95</v>
      </c>
      <c r="C1838" t="s">
        <v>2245</v>
      </c>
    </row>
    <row r="1839" spans="1:3" x14ac:dyDescent="0.3">
      <c r="A1839" s="426">
        <v>42213</v>
      </c>
      <c r="B1839">
        <v>295.64999999999998</v>
      </c>
      <c r="C1839" t="s">
        <v>2246</v>
      </c>
    </row>
    <row r="1840" spans="1:3" x14ac:dyDescent="0.3">
      <c r="A1840" s="426">
        <v>42214</v>
      </c>
      <c r="B1840">
        <v>292.61</v>
      </c>
      <c r="C1840" t="s">
        <v>2247</v>
      </c>
    </row>
    <row r="1841" spans="1:3" x14ac:dyDescent="0.3">
      <c r="A1841" s="426">
        <v>42215</v>
      </c>
      <c r="B1841">
        <v>289.7</v>
      </c>
      <c r="C1841" t="s">
        <v>2248</v>
      </c>
    </row>
    <row r="1842" spans="1:3" x14ac:dyDescent="0.3">
      <c r="A1842" s="426">
        <v>42216</v>
      </c>
      <c r="B1842">
        <v>286.98</v>
      </c>
      <c r="C1842" t="s">
        <v>2249</v>
      </c>
    </row>
    <row r="1843" spans="1:3" x14ac:dyDescent="0.3">
      <c r="A1843" s="426">
        <v>42217</v>
      </c>
      <c r="B1843">
        <v>283.29000000000002</v>
      </c>
      <c r="C1843" t="s">
        <v>2250</v>
      </c>
    </row>
    <row r="1844" spans="1:3" x14ac:dyDescent="0.3">
      <c r="A1844" s="426">
        <v>42218</v>
      </c>
      <c r="B1844">
        <v>281.86</v>
      </c>
      <c r="C1844" t="s">
        <v>2251</v>
      </c>
    </row>
    <row r="1845" spans="1:3" x14ac:dyDescent="0.3">
      <c r="A1845" s="426">
        <v>42219</v>
      </c>
      <c r="B1845">
        <v>284.13</v>
      </c>
      <c r="C1845" t="s">
        <v>2252</v>
      </c>
    </row>
    <row r="1846" spans="1:3" x14ac:dyDescent="0.3">
      <c r="A1846" s="426">
        <v>42220</v>
      </c>
      <c r="B1846">
        <v>285.44</v>
      </c>
      <c r="C1846" t="s">
        <v>2253</v>
      </c>
    </row>
    <row r="1847" spans="1:3" x14ac:dyDescent="0.3">
      <c r="A1847" s="426">
        <v>42221</v>
      </c>
      <c r="B1847">
        <v>285.07</v>
      </c>
      <c r="C1847" t="s">
        <v>2254</v>
      </c>
    </row>
    <row r="1848" spans="1:3" x14ac:dyDescent="0.3">
      <c r="A1848" s="426">
        <v>42222</v>
      </c>
      <c r="B1848">
        <v>282.02999999999997</v>
      </c>
      <c r="C1848" t="s">
        <v>2255</v>
      </c>
    </row>
    <row r="1849" spans="1:3" x14ac:dyDescent="0.3">
      <c r="A1849" s="426">
        <v>42223</v>
      </c>
      <c r="B1849">
        <v>280.86</v>
      </c>
      <c r="C1849" t="s">
        <v>2256</v>
      </c>
    </row>
    <row r="1850" spans="1:3" x14ac:dyDescent="0.3">
      <c r="A1850" s="426">
        <v>42224</v>
      </c>
      <c r="B1850">
        <v>276.18</v>
      </c>
      <c r="C1850" t="s">
        <v>2257</v>
      </c>
    </row>
    <row r="1851" spans="1:3" x14ac:dyDescent="0.3">
      <c r="A1851" s="426">
        <v>42225</v>
      </c>
      <c r="B1851">
        <v>264.37</v>
      </c>
      <c r="C1851" t="s">
        <v>2258</v>
      </c>
    </row>
    <row r="1852" spans="1:3" x14ac:dyDescent="0.3">
      <c r="A1852" s="426">
        <v>42226</v>
      </c>
      <c r="B1852">
        <v>266.12</v>
      </c>
      <c r="C1852" t="s">
        <v>2259</v>
      </c>
    </row>
    <row r="1853" spans="1:3" x14ac:dyDescent="0.3">
      <c r="A1853" s="426">
        <v>42227</v>
      </c>
      <c r="B1853">
        <v>267.42</v>
      </c>
      <c r="C1853" t="s">
        <v>2260</v>
      </c>
    </row>
    <row r="1854" spans="1:3" x14ac:dyDescent="0.3">
      <c r="A1854" s="426">
        <v>42228</v>
      </c>
      <c r="B1854">
        <v>269.62</v>
      </c>
      <c r="C1854" t="s">
        <v>2261</v>
      </c>
    </row>
    <row r="1855" spans="1:3" x14ac:dyDescent="0.3">
      <c r="A1855" s="426">
        <v>42229</v>
      </c>
      <c r="B1855">
        <v>266.61</v>
      </c>
      <c r="C1855" t="s">
        <v>2262</v>
      </c>
    </row>
    <row r="1856" spans="1:3" x14ac:dyDescent="0.3">
      <c r="A1856" s="426">
        <v>42230</v>
      </c>
      <c r="B1856">
        <v>266.22000000000003</v>
      </c>
      <c r="C1856" t="s">
        <v>2263</v>
      </c>
    </row>
    <row r="1857" spans="1:3" x14ac:dyDescent="0.3">
      <c r="A1857" s="426">
        <v>42231</v>
      </c>
      <c r="B1857">
        <v>267.45</v>
      </c>
      <c r="C1857" t="s">
        <v>2264</v>
      </c>
    </row>
    <row r="1858" spans="1:3" x14ac:dyDescent="0.3">
      <c r="A1858" s="426">
        <v>42232</v>
      </c>
      <c r="B1858">
        <v>260.77999999999997</v>
      </c>
      <c r="C1858" t="s">
        <v>2265</v>
      </c>
    </row>
    <row r="1859" spans="1:3" x14ac:dyDescent="0.3">
      <c r="A1859" s="426">
        <v>42233</v>
      </c>
      <c r="B1859">
        <v>259.27999999999997</v>
      </c>
      <c r="C1859" t="s">
        <v>2266</v>
      </c>
    </row>
    <row r="1860" spans="1:3" x14ac:dyDescent="0.3">
      <c r="A1860" s="426">
        <v>42234</v>
      </c>
      <c r="B1860">
        <v>256.94</v>
      </c>
      <c r="C1860" t="s">
        <v>2267</v>
      </c>
    </row>
    <row r="1861" spans="1:3" x14ac:dyDescent="0.3">
      <c r="A1861" s="426">
        <v>42235</v>
      </c>
      <c r="B1861">
        <v>234.34</v>
      </c>
      <c r="C1861" t="s">
        <v>2268</v>
      </c>
    </row>
    <row r="1862" spans="1:3" x14ac:dyDescent="0.3">
      <c r="A1862" s="426">
        <v>42236</v>
      </c>
      <c r="B1862">
        <v>233.26</v>
      </c>
      <c r="C1862" t="s">
        <v>2269</v>
      </c>
    </row>
    <row r="1863" spans="1:3" x14ac:dyDescent="0.3">
      <c r="A1863" s="426">
        <v>42237</v>
      </c>
      <c r="B1863">
        <v>235.52</v>
      </c>
      <c r="C1863" t="s">
        <v>2270</v>
      </c>
    </row>
    <row r="1864" spans="1:3" x14ac:dyDescent="0.3">
      <c r="A1864" s="426">
        <v>42238</v>
      </c>
      <c r="B1864">
        <v>231.89</v>
      </c>
      <c r="C1864" t="s">
        <v>2271</v>
      </c>
    </row>
    <row r="1865" spans="1:3" x14ac:dyDescent="0.3">
      <c r="A1865" s="426">
        <v>42239</v>
      </c>
      <c r="B1865">
        <v>230.52</v>
      </c>
      <c r="C1865" t="s">
        <v>2272</v>
      </c>
    </row>
    <row r="1866" spans="1:3" x14ac:dyDescent="0.3">
      <c r="A1866" s="426">
        <v>42240</v>
      </c>
      <c r="B1866">
        <v>222.4</v>
      </c>
      <c r="C1866" t="s">
        <v>2273</v>
      </c>
    </row>
    <row r="1867" spans="1:3" x14ac:dyDescent="0.3">
      <c r="A1867" s="426">
        <v>42241</v>
      </c>
      <c r="B1867">
        <v>214.71</v>
      </c>
      <c r="C1867" t="s">
        <v>2274</v>
      </c>
    </row>
    <row r="1868" spans="1:3" x14ac:dyDescent="0.3">
      <c r="A1868" s="426">
        <v>42242</v>
      </c>
      <c r="B1868">
        <v>225.97</v>
      </c>
      <c r="C1868" t="s">
        <v>2275</v>
      </c>
    </row>
    <row r="1869" spans="1:3" x14ac:dyDescent="0.3">
      <c r="A1869" s="426">
        <v>42243</v>
      </c>
      <c r="B1869">
        <v>227.09</v>
      </c>
      <c r="C1869" t="s">
        <v>2276</v>
      </c>
    </row>
    <row r="1870" spans="1:3" x14ac:dyDescent="0.3">
      <c r="A1870" s="426">
        <v>42244</v>
      </c>
      <c r="B1870">
        <v>228.33</v>
      </c>
      <c r="C1870" t="s">
        <v>2277</v>
      </c>
    </row>
    <row r="1871" spans="1:3" x14ac:dyDescent="0.3">
      <c r="A1871" s="426">
        <v>42245</v>
      </c>
      <c r="B1871">
        <v>231.91</v>
      </c>
      <c r="C1871" t="s">
        <v>2278</v>
      </c>
    </row>
    <row r="1872" spans="1:3" x14ac:dyDescent="0.3">
      <c r="A1872" s="426">
        <v>42246</v>
      </c>
      <c r="B1872">
        <v>230.35</v>
      </c>
      <c r="C1872" t="s">
        <v>2279</v>
      </c>
    </row>
    <row r="1873" spans="1:3" x14ac:dyDescent="0.3">
      <c r="A1873" s="426">
        <v>42247</v>
      </c>
      <c r="B1873">
        <v>229.97</v>
      </c>
      <c r="C1873" t="s">
        <v>2280</v>
      </c>
    </row>
    <row r="1874" spans="1:3" x14ac:dyDescent="0.3">
      <c r="A1874" s="426">
        <v>42248</v>
      </c>
      <c r="B1874">
        <v>230.43</v>
      </c>
      <c r="C1874" t="s">
        <v>2281</v>
      </c>
    </row>
    <row r="1875" spans="1:3" x14ac:dyDescent="0.3">
      <c r="A1875" s="426">
        <v>42249</v>
      </c>
      <c r="B1875">
        <v>228.99</v>
      </c>
      <c r="C1875" t="s">
        <v>2282</v>
      </c>
    </row>
    <row r="1876" spans="1:3" x14ac:dyDescent="0.3">
      <c r="A1876" s="426">
        <v>42250</v>
      </c>
      <c r="B1876">
        <v>230.77</v>
      </c>
      <c r="C1876" t="s">
        <v>2283</v>
      </c>
    </row>
    <row r="1877" spans="1:3" x14ac:dyDescent="0.3">
      <c r="A1877" s="426">
        <v>42251</v>
      </c>
      <c r="B1877">
        <v>231.38</v>
      </c>
      <c r="C1877" t="s">
        <v>2284</v>
      </c>
    </row>
    <row r="1878" spans="1:3" x14ac:dyDescent="0.3">
      <c r="A1878" s="426">
        <v>42252</v>
      </c>
      <c r="B1878">
        <v>233.56</v>
      </c>
      <c r="C1878" t="s">
        <v>2285</v>
      </c>
    </row>
    <row r="1879" spans="1:3" x14ac:dyDescent="0.3">
      <c r="A1879" s="426">
        <v>42253</v>
      </c>
      <c r="B1879">
        <v>240.44</v>
      </c>
      <c r="C1879" t="s">
        <v>2286</v>
      </c>
    </row>
    <row r="1880" spans="1:3" x14ac:dyDescent="0.3">
      <c r="A1880" s="426">
        <v>42254</v>
      </c>
      <c r="B1880">
        <v>241.37</v>
      </c>
      <c r="C1880" t="s">
        <v>2287</v>
      </c>
    </row>
    <row r="1881" spans="1:3" x14ac:dyDescent="0.3">
      <c r="A1881" s="426">
        <v>42255</v>
      </c>
      <c r="B1881">
        <v>244.13</v>
      </c>
      <c r="C1881" t="s">
        <v>2288</v>
      </c>
    </row>
    <row r="1882" spans="1:3" x14ac:dyDescent="0.3">
      <c r="A1882" s="426">
        <v>42256</v>
      </c>
      <c r="B1882">
        <v>242.79</v>
      </c>
      <c r="C1882" t="s">
        <v>2289</v>
      </c>
    </row>
    <row r="1883" spans="1:3" x14ac:dyDescent="0.3">
      <c r="A1883" s="426">
        <v>42257</v>
      </c>
      <c r="B1883">
        <v>240.5</v>
      </c>
      <c r="C1883" t="s">
        <v>2290</v>
      </c>
    </row>
    <row r="1884" spans="1:3" x14ac:dyDescent="0.3">
      <c r="A1884" s="426">
        <v>42258</v>
      </c>
      <c r="B1884">
        <v>241.92</v>
      </c>
      <c r="C1884" t="s">
        <v>2291</v>
      </c>
    </row>
    <row r="1885" spans="1:3" x14ac:dyDescent="0.3">
      <c r="A1885" s="426">
        <v>42259</v>
      </c>
      <c r="B1885">
        <v>240.93</v>
      </c>
      <c r="C1885" t="s">
        <v>2292</v>
      </c>
    </row>
    <row r="1886" spans="1:3" x14ac:dyDescent="0.3">
      <c r="A1886" s="426">
        <v>42260</v>
      </c>
      <c r="B1886">
        <v>234.8</v>
      </c>
      <c r="C1886" t="s">
        <v>2293</v>
      </c>
    </row>
    <row r="1887" spans="1:3" x14ac:dyDescent="0.3">
      <c r="A1887" s="426">
        <v>42261</v>
      </c>
      <c r="B1887">
        <v>230.4</v>
      </c>
      <c r="C1887" t="s">
        <v>2294</v>
      </c>
    </row>
    <row r="1888" spans="1:3" x14ac:dyDescent="0.3">
      <c r="A1888" s="426">
        <v>42262</v>
      </c>
      <c r="B1888">
        <v>232.22</v>
      </c>
      <c r="C1888" t="s">
        <v>2295</v>
      </c>
    </row>
    <row r="1889" spans="1:3" x14ac:dyDescent="0.3">
      <c r="A1889" s="426">
        <v>42263</v>
      </c>
      <c r="B1889">
        <v>230.86</v>
      </c>
      <c r="C1889" t="s">
        <v>2296</v>
      </c>
    </row>
    <row r="1890" spans="1:3" x14ac:dyDescent="0.3">
      <c r="A1890" s="426">
        <v>42264</v>
      </c>
      <c r="B1890">
        <v>233.35</v>
      </c>
      <c r="C1890" t="s">
        <v>2297</v>
      </c>
    </row>
    <row r="1891" spans="1:3" x14ac:dyDescent="0.3">
      <c r="A1891" s="426">
        <v>42265</v>
      </c>
      <c r="B1891">
        <v>234.74</v>
      </c>
      <c r="C1891" t="s">
        <v>2298</v>
      </c>
    </row>
    <row r="1892" spans="1:3" x14ac:dyDescent="0.3">
      <c r="A1892" s="426">
        <v>42266</v>
      </c>
      <c r="B1892">
        <v>233.86</v>
      </c>
      <c r="C1892" t="s">
        <v>2299</v>
      </c>
    </row>
    <row r="1893" spans="1:3" x14ac:dyDescent="0.3">
      <c r="A1893" s="426">
        <v>42267</v>
      </c>
      <c r="B1893">
        <v>233.12</v>
      </c>
      <c r="C1893" t="s">
        <v>2300</v>
      </c>
    </row>
    <row r="1894" spans="1:3" x14ac:dyDescent="0.3">
      <c r="A1894" s="426">
        <v>42268</v>
      </c>
      <c r="B1894">
        <v>229.44</v>
      </c>
      <c r="C1894" t="s">
        <v>2301</v>
      </c>
    </row>
    <row r="1895" spans="1:3" x14ac:dyDescent="0.3">
      <c r="A1895" s="426">
        <v>42269</v>
      </c>
      <c r="B1895">
        <v>230.51</v>
      </c>
      <c r="C1895" t="s">
        <v>2302</v>
      </c>
    </row>
    <row r="1896" spans="1:3" x14ac:dyDescent="0.3">
      <c r="A1896" s="426">
        <v>42270</v>
      </c>
      <c r="B1896">
        <v>232.27</v>
      </c>
      <c r="C1896" t="s">
        <v>2303</v>
      </c>
    </row>
    <row r="1897" spans="1:3" x14ac:dyDescent="0.3">
      <c r="A1897" s="426">
        <v>42271</v>
      </c>
      <c r="B1897">
        <v>233.98</v>
      </c>
      <c r="C1897" t="s">
        <v>2304</v>
      </c>
    </row>
    <row r="1898" spans="1:3" x14ac:dyDescent="0.3">
      <c r="A1898" s="426">
        <v>42272</v>
      </c>
      <c r="B1898">
        <v>236.68</v>
      </c>
      <c r="C1898" t="s">
        <v>2305</v>
      </c>
    </row>
    <row r="1899" spans="1:3" x14ac:dyDescent="0.3">
      <c r="A1899" s="426">
        <v>42273</v>
      </c>
      <c r="B1899">
        <v>236.3</v>
      </c>
      <c r="C1899" t="s">
        <v>2306</v>
      </c>
    </row>
    <row r="1900" spans="1:3" x14ac:dyDescent="0.3">
      <c r="A1900" s="426">
        <v>42274</v>
      </c>
      <c r="B1900">
        <v>235.25</v>
      </c>
      <c r="C1900" t="s">
        <v>2307</v>
      </c>
    </row>
    <row r="1901" spans="1:3" x14ac:dyDescent="0.3">
      <c r="A1901" s="426">
        <v>42275</v>
      </c>
      <c r="B1901">
        <v>238.43</v>
      </c>
      <c r="C1901" t="s">
        <v>2308</v>
      </c>
    </row>
    <row r="1902" spans="1:3" x14ac:dyDescent="0.3">
      <c r="A1902" s="426">
        <v>42276</v>
      </c>
      <c r="B1902">
        <v>239.83</v>
      </c>
      <c r="C1902" t="s">
        <v>2309</v>
      </c>
    </row>
    <row r="1903" spans="1:3" x14ac:dyDescent="0.3">
      <c r="A1903" s="426">
        <v>42277</v>
      </c>
      <c r="B1903">
        <v>238.73</v>
      </c>
      <c r="C1903" t="s">
        <v>2310</v>
      </c>
    </row>
    <row r="1904" spans="1:3" x14ac:dyDescent="0.3">
      <c r="A1904" s="426">
        <v>42278</v>
      </c>
      <c r="B1904">
        <v>238.88</v>
      </c>
      <c r="C1904" t="s">
        <v>2311</v>
      </c>
    </row>
    <row r="1905" spans="1:3" x14ac:dyDescent="0.3">
      <c r="A1905" s="426">
        <v>42279</v>
      </c>
      <c r="B1905">
        <v>239.34</v>
      </c>
      <c r="C1905" t="s">
        <v>2312</v>
      </c>
    </row>
    <row r="1906" spans="1:3" x14ac:dyDescent="0.3">
      <c r="A1906" s="426">
        <v>42280</v>
      </c>
      <c r="B1906">
        <v>240.15</v>
      </c>
      <c r="C1906" t="s">
        <v>2313</v>
      </c>
    </row>
    <row r="1907" spans="1:3" x14ac:dyDescent="0.3">
      <c r="A1907" s="426">
        <v>42281</v>
      </c>
      <c r="B1907">
        <v>241.04</v>
      </c>
      <c r="C1907" t="s">
        <v>2314</v>
      </c>
    </row>
    <row r="1908" spans="1:3" x14ac:dyDescent="0.3">
      <c r="A1908" s="426">
        <v>42282</v>
      </c>
      <c r="B1908">
        <v>240.38</v>
      </c>
      <c r="C1908" t="s">
        <v>2315</v>
      </c>
    </row>
    <row r="1909" spans="1:3" x14ac:dyDescent="0.3">
      <c r="A1909" s="426">
        <v>42283</v>
      </c>
      <c r="B1909">
        <v>245.11</v>
      </c>
      <c r="C1909" t="s">
        <v>2316</v>
      </c>
    </row>
    <row r="1910" spans="1:3" x14ac:dyDescent="0.3">
      <c r="A1910" s="426">
        <v>42284</v>
      </c>
      <c r="B1910">
        <v>246.92</v>
      </c>
      <c r="C1910" t="s">
        <v>2317</v>
      </c>
    </row>
    <row r="1911" spans="1:3" x14ac:dyDescent="0.3">
      <c r="A1911" s="426">
        <v>42285</v>
      </c>
      <c r="B1911">
        <v>245.93</v>
      </c>
      <c r="C1911" t="s">
        <v>2318</v>
      </c>
    </row>
    <row r="1912" spans="1:3" x14ac:dyDescent="0.3">
      <c r="A1912" s="426">
        <v>42286</v>
      </c>
      <c r="B1912">
        <v>246.12</v>
      </c>
      <c r="C1912" t="s">
        <v>2319</v>
      </c>
    </row>
    <row r="1913" spans="1:3" x14ac:dyDescent="0.3">
      <c r="A1913" s="426">
        <v>42287</v>
      </c>
      <c r="B1913">
        <v>246.96</v>
      </c>
      <c r="C1913" t="s">
        <v>2320</v>
      </c>
    </row>
    <row r="1914" spans="1:3" x14ac:dyDescent="0.3">
      <c r="A1914" s="426">
        <v>42288</v>
      </c>
      <c r="B1914">
        <v>248.91</v>
      </c>
      <c r="C1914" t="s">
        <v>2321</v>
      </c>
    </row>
    <row r="1915" spans="1:3" x14ac:dyDescent="0.3">
      <c r="A1915" s="426">
        <v>42289</v>
      </c>
      <c r="B1915">
        <v>248.47</v>
      </c>
      <c r="C1915" t="s">
        <v>2322</v>
      </c>
    </row>
    <row r="1916" spans="1:3" x14ac:dyDescent="0.3">
      <c r="A1916" s="426">
        <v>42290</v>
      </c>
      <c r="B1916">
        <v>249.32</v>
      </c>
      <c r="C1916" t="s">
        <v>2323</v>
      </c>
    </row>
    <row r="1917" spans="1:3" x14ac:dyDescent="0.3">
      <c r="A1917" s="426">
        <v>42291</v>
      </c>
      <c r="B1917">
        <v>253.51</v>
      </c>
      <c r="C1917" t="s">
        <v>2324</v>
      </c>
    </row>
    <row r="1918" spans="1:3" x14ac:dyDescent="0.3">
      <c r="A1918" s="426">
        <v>42292</v>
      </c>
      <c r="B1918">
        <v>256.20999999999998</v>
      </c>
      <c r="C1918" t="s">
        <v>2325</v>
      </c>
    </row>
    <row r="1919" spans="1:3" x14ac:dyDescent="0.3">
      <c r="A1919" s="426">
        <v>42293</v>
      </c>
      <c r="B1919">
        <v>261.38</v>
      </c>
      <c r="C1919" t="s">
        <v>2326</v>
      </c>
    </row>
    <row r="1920" spans="1:3" x14ac:dyDescent="0.3">
      <c r="A1920" s="426">
        <v>42294</v>
      </c>
      <c r="B1920">
        <v>270.02</v>
      </c>
      <c r="C1920" t="s">
        <v>2327</v>
      </c>
    </row>
    <row r="1921" spans="1:3" x14ac:dyDescent="0.3">
      <c r="A1921" s="426">
        <v>42295</v>
      </c>
      <c r="B1921">
        <v>267.92</v>
      </c>
      <c r="C1921" t="s">
        <v>2328</v>
      </c>
    </row>
    <row r="1922" spans="1:3" x14ac:dyDescent="0.3">
      <c r="A1922" s="426">
        <v>42296</v>
      </c>
      <c r="B1922">
        <v>264.92</v>
      </c>
      <c r="C1922" t="s">
        <v>2329</v>
      </c>
    </row>
    <row r="1923" spans="1:3" x14ac:dyDescent="0.3">
      <c r="A1923" s="426">
        <v>42297</v>
      </c>
      <c r="B1923">
        <v>269.08</v>
      </c>
      <c r="C1923" t="s">
        <v>2330</v>
      </c>
    </row>
    <row r="1924" spans="1:3" x14ac:dyDescent="0.3">
      <c r="A1924" s="426">
        <v>42298</v>
      </c>
      <c r="B1924">
        <v>269.8</v>
      </c>
      <c r="C1924" t="s">
        <v>2331</v>
      </c>
    </row>
    <row r="1925" spans="1:3" x14ac:dyDescent="0.3">
      <c r="A1925" s="426">
        <v>42299</v>
      </c>
      <c r="B1925">
        <v>273.23</v>
      </c>
      <c r="C1925" t="s">
        <v>2332</v>
      </c>
    </row>
    <row r="1926" spans="1:3" x14ac:dyDescent="0.3">
      <c r="A1926" s="426">
        <v>42300</v>
      </c>
      <c r="B1926">
        <v>277.64</v>
      </c>
      <c r="C1926" t="s">
        <v>2333</v>
      </c>
    </row>
    <row r="1927" spans="1:3" x14ac:dyDescent="0.3">
      <c r="A1927" s="426">
        <v>42301</v>
      </c>
      <c r="B1927">
        <v>281.72000000000003</v>
      </c>
      <c r="C1927" t="s">
        <v>2334</v>
      </c>
    </row>
    <row r="1928" spans="1:3" x14ac:dyDescent="0.3">
      <c r="A1928" s="426">
        <v>42302</v>
      </c>
      <c r="B1928">
        <v>290.17</v>
      </c>
      <c r="C1928" t="s">
        <v>2335</v>
      </c>
    </row>
    <row r="1929" spans="1:3" x14ac:dyDescent="0.3">
      <c r="A1929" s="426">
        <v>42303</v>
      </c>
      <c r="B1929">
        <v>285.39</v>
      </c>
      <c r="C1929" t="s">
        <v>2336</v>
      </c>
    </row>
    <row r="1930" spans="1:3" x14ac:dyDescent="0.3">
      <c r="A1930" s="426">
        <v>42304</v>
      </c>
      <c r="B1930">
        <v>293.39999999999998</v>
      </c>
      <c r="C1930" t="s">
        <v>2337</v>
      </c>
    </row>
    <row r="1931" spans="1:3" x14ac:dyDescent="0.3">
      <c r="A1931" s="426">
        <v>42305</v>
      </c>
      <c r="B1931">
        <v>301.68</v>
      </c>
      <c r="C1931" t="s">
        <v>2338</v>
      </c>
    </row>
    <row r="1932" spans="1:3" x14ac:dyDescent="0.3">
      <c r="A1932" s="426">
        <v>42306</v>
      </c>
      <c r="B1932">
        <v>310.62</v>
      </c>
      <c r="C1932" t="s">
        <v>2339</v>
      </c>
    </row>
    <row r="1933" spans="1:3" x14ac:dyDescent="0.3">
      <c r="A1933" s="426">
        <v>42307</v>
      </c>
      <c r="B1933">
        <v>325.42</v>
      </c>
      <c r="C1933" t="s">
        <v>2340</v>
      </c>
    </row>
    <row r="1934" spans="1:3" x14ac:dyDescent="0.3">
      <c r="A1934" s="426">
        <v>42308</v>
      </c>
      <c r="B1934">
        <v>323.74</v>
      </c>
      <c r="C1934" t="s">
        <v>2341</v>
      </c>
    </row>
    <row r="1935" spans="1:3" x14ac:dyDescent="0.3">
      <c r="A1935" s="426">
        <v>42309</v>
      </c>
      <c r="B1935">
        <v>318.74</v>
      </c>
      <c r="C1935" t="s">
        <v>2342</v>
      </c>
    </row>
    <row r="1936" spans="1:3" x14ac:dyDescent="0.3">
      <c r="A1936" s="426">
        <v>42310</v>
      </c>
      <c r="B1936">
        <v>336.06</v>
      </c>
      <c r="C1936" t="s">
        <v>2343</v>
      </c>
    </row>
    <row r="1937" spans="1:3" x14ac:dyDescent="0.3">
      <c r="A1937" s="426">
        <v>42311</v>
      </c>
      <c r="B1937">
        <v>382.99</v>
      </c>
      <c r="C1937" t="s">
        <v>2344</v>
      </c>
    </row>
    <row r="1938" spans="1:3" x14ac:dyDescent="0.3">
      <c r="A1938" s="426">
        <v>42312</v>
      </c>
      <c r="B1938">
        <v>447.05</v>
      </c>
      <c r="C1938" t="s">
        <v>2345</v>
      </c>
    </row>
    <row r="1939" spans="1:3" x14ac:dyDescent="0.3">
      <c r="A1939" s="426">
        <v>42313</v>
      </c>
      <c r="B1939">
        <v>400.66</v>
      </c>
      <c r="C1939" t="s">
        <v>2346</v>
      </c>
    </row>
    <row r="1940" spans="1:3" x14ac:dyDescent="0.3">
      <c r="A1940" s="426">
        <v>42314</v>
      </c>
      <c r="B1940">
        <v>372.65</v>
      </c>
      <c r="C1940" t="s">
        <v>2347</v>
      </c>
    </row>
    <row r="1941" spans="1:3" x14ac:dyDescent="0.3">
      <c r="A1941" s="426">
        <v>42315</v>
      </c>
      <c r="B1941">
        <v>384.5</v>
      </c>
      <c r="C1941" t="s">
        <v>2348</v>
      </c>
    </row>
    <row r="1942" spans="1:3" x14ac:dyDescent="0.3">
      <c r="A1942" s="426">
        <v>42316</v>
      </c>
      <c r="B1942">
        <v>383.67</v>
      </c>
      <c r="C1942" t="s">
        <v>2349</v>
      </c>
    </row>
    <row r="1943" spans="1:3" x14ac:dyDescent="0.3">
      <c r="A1943" s="426">
        <v>42317</v>
      </c>
      <c r="B1943">
        <v>376.16</v>
      </c>
      <c r="C1943" t="s">
        <v>2350</v>
      </c>
    </row>
    <row r="1944" spans="1:3" x14ac:dyDescent="0.3">
      <c r="A1944" s="426">
        <v>42318</v>
      </c>
      <c r="B1944">
        <v>366.71</v>
      </c>
      <c r="C1944" t="s">
        <v>2351</v>
      </c>
    </row>
    <row r="1945" spans="1:3" x14ac:dyDescent="0.3">
      <c r="A1945" s="426">
        <v>42319</v>
      </c>
      <c r="B1945">
        <v>316.64999999999998</v>
      </c>
      <c r="C1945" t="s">
        <v>2352</v>
      </c>
    </row>
    <row r="1946" spans="1:3" x14ac:dyDescent="0.3">
      <c r="A1946" s="426">
        <v>42320</v>
      </c>
      <c r="B1946">
        <v>328.21</v>
      </c>
      <c r="C1946" t="s">
        <v>2353</v>
      </c>
    </row>
    <row r="1947" spans="1:3" x14ac:dyDescent="0.3">
      <c r="A1947" s="426">
        <v>42321</v>
      </c>
      <c r="B1947">
        <v>334.54</v>
      </c>
      <c r="C1947" t="s">
        <v>2354</v>
      </c>
    </row>
    <row r="1948" spans="1:3" x14ac:dyDescent="0.3">
      <c r="A1948" s="426">
        <v>42322</v>
      </c>
      <c r="B1948">
        <v>334.98</v>
      </c>
      <c r="C1948" t="s">
        <v>2355</v>
      </c>
    </row>
    <row r="1949" spans="1:3" x14ac:dyDescent="0.3">
      <c r="A1949" s="426">
        <v>42323</v>
      </c>
      <c r="B1949">
        <v>329.09</v>
      </c>
      <c r="C1949" t="s">
        <v>2356</v>
      </c>
    </row>
    <row r="1950" spans="1:3" x14ac:dyDescent="0.3">
      <c r="A1950" s="426">
        <v>42324</v>
      </c>
      <c r="B1950">
        <v>322.52</v>
      </c>
      <c r="C1950" t="s">
        <v>2357</v>
      </c>
    </row>
    <row r="1951" spans="1:3" x14ac:dyDescent="0.3">
      <c r="A1951" s="426">
        <v>42325</v>
      </c>
      <c r="B1951">
        <v>335.43</v>
      </c>
      <c r="C1951" t="s">
        <v>2358</v>
      </c>
    </row>
    <row r="1952" spans="1:3" x14ac:dyDescent="0.3">
      <c r="A1952" s="426">
        <v>42326</v>
      </c>
      <c r="B1952">
        <v>335.34</v>
      </c>
      <c r="C1952" t="s">
        <v>2359</v>
      </c>
    </row>
    <row r="1953" spans="1:3" x14ac:dyDescent="0.3">
      <c r="A1953" s="426">
        <v>42327</v>
      </c>
      <c r="B1953">
        <v>332.58</v>
      </c>
      <c r="C1953" t="s">
        <v>2360</v>
      </c>
    </row>
    <row r="1954" spans="1:3" x14ac:dyDescent="0.3">
      <c r="A1954" s="426">
        <v>42328</v>
      </c>
      <c r="B1954">
        <v>320.95999999999998</v>
      </c>
      <c r="C1954" t="s">
        <v>2361</v>
      </c>
    </row>
    <row r="1955" spans="1:3" x14ac:dyDescent="0.3">
      <c r="A1955" s="426">
        <v>42329</v>
      </c>
      <c r="B1955">
        <v>326.23</v>
      </c>
      <c r="C1955" t="s">
        <v>2362</v>
      </c>
    </row>
    <row r="1956" spans="1:3" x14ac:dyDescent="0.3">
      <c r="A1956" s="426">
        <v>42330</v>
      </c>
      <c r="B1956">
        <v>325.77999999999997</v>
      </c>
      <c r="C1956" t="s">
        <v>2363</v>
      </c>
    </row>
    <row r="1957" spans="1:3" x14ac:dyDescent="0.3">
      <c r="A1957" s="426">
        <v>42331</v>
      </c>
      <c r="B1957">
        <v>324.43</v>
      </c>
      <c r="C1957" t="s">
        <v>2364</v>
      </c>
    </row>
    <row r="1958" spans="1:3" x14ac:dyDescent="0.3">
      <c r="A1958" s="426">
        <v>42332</v>
      </c>
      <c r="B1958">
        <v>323.64999999999998</v>
      </c>
      <c r="C1958" t="s">
        <v>2365</v>
      </c>
    </row>
    <row r="1959" spans="1:3" x14ac:dyDescent="0.3">
      <c r="A1959" s="426">
        <v>42333</v>
      </c>
      <c r="B1959">
        <v>324.54000000000002</v>
      </c>
      <c r="C1959" t="s">
        <v>2366</v>
      </c>
    </row>
    <row r="1960" spans="1:3" x14ac:dyDescent="0.3">
      <c r="A1960" s="426">
        <v>42334</v>
      </c>
      <c r="B1960">
        <v>343.4</v>
      </c>
      <c r="C1960" t="s">
        <v>2367</v>
      </c>
    </row>
    <row r="1961" spans="1:3" x14ac:dyDescent="0.3">
      <c r="A1961" s="426">
        <v>42335</v>
      </c>
      <c r="B1961">
        <v>355.99</v>
      </c>
      <c r="C1961" t="s">
        <v>2368</v>
      </c>
    </row>
    <row r="1962" spans="1:3" x14ac:dyDescent="0.3">
      <c r="A1962" s="426">
        <v>42336</v>
      </c>
      <c r="B1962">
        <v>356.51</v>
      </c>
      <c r="C1962" t="s">
        <v>2369</v>
      </c>
    </row>
    <row r="1963" spans="1:3" x14ac:dyDescent="0.3">
      <c r="A1963" s="426">
        <v>42337</v>
      </c>
      <c r="B1963">
        <v>362.35</v>
      </c>
      <c r="C1963" t="s">
        <v>2370</v>
      </c>
    </row>
    <row r="1964" spans="1:3" x14ac:dyDescent="0.3">
      <c r="A1964" s="426">
        <v>42338</v>
      </c>
      <c r="B1964">
        <v>376.91</v>
      </c>
      <c r="C1964" t="s">
        <v>2371</v>
      </c>
    </row>
    <row r="1965" spans="1:3" x14ac:dyDescent="0.3">
      <c r="A1965" s="426">
        <v>42339</v>
      </c>
      <c r="B1965">
        <v>368.63</v>
      </c>
      <c r="C1965" t="s">
        <v>2372</v>
      </c>
    </row>
    <row r="1966" spans="1:3" x14ac:dyDescent="0.3">
      <c r="A1966" s="426">
        <v>42340</v>
      </c>
      <c r="B1966">
        <v>357.02</v>
      </c>
      <c r="C1966" t="s">
        <v>2373</v>
      </c>
    </row>
    <row r="1967" spans="1:3" x14ac:dyDescent="0.3">
      <c r="A1967" s="426">
        <v>42341</v>
      </c>
      <c r="B1967">
        <v>364.62</v>
      </c>
      <c r="C1967" t="s">
        <v>2374</v>
      </c>
    </row>
    <row r="1968" spans="1:3" x14ac:dyDescent="0.3">
      <c r="A1968" s="426">
        <v>42342</v>
      </c>
      <c r="B1968">
        <v>362</v>
      </c>
      <c r="C1968" t="s">
        <v>2375</v>
      </c>
    </row>
    <row r="1969" spans="1:3" x14ac:dyDescent="0.3">
      <c r="A1969" s="426">
        <v>42343</v>
      </c>
      <c r="B1969">
        <v>376.06</v>
      </c>
      <c r="C1969" t="s">
        <v>2376</v>
      </c>
    </row>
    <row r="1970" spans="1:3" x14ac:dyDescent="0.3">
      <c r="A1970" s="426">
        <v>42344</v>
      </c>
      <c r="B1970">
        <v>394.53</v>
      </c>
      <c r="C1970" t="s">
        <v>2377</v>
      </c>
    </row>
    <row r="1971" spans="1:3" x14ac:dyDescent="0.3">
      <c r="A1971" s="426">
        <v>42345</v>
      </c>
      <c r="B1971">
        <v>394.41</v>
      </c>
      <c r="C1971" t="s">
        <v>2378</v>
      </c>
    </row>
    <row r="1972" spans="1:3" x14ac:dyDescent="0.3">
      <c r="A1972" s="426">
        <v>42346</v>
      </c>
      <c r="B1972">
        <v>397.32</v>
      </c>
      <c r="C1972" t="s">
        <v>2379</v>
      </c>
    </row>
    <row r="1973" spans="1:3" x14ac:dyDescent="0.3">
      <c r="A1973" s="426">
        <v>42347</v>
      </c>
      <c r="B1973">
        <v>418.59</v>
      </c>
      <c r="C1973" t="s">
        <v>2380</v>
      </c>
    </row>
    <row r="1974" spans="1:3" x14ac:dyDescent="0.3">
      <c r="A1974" s="426">
        <v>42348</v>
      </c>
      <c r="B1974">
        <v>416.7</v>
      </c>
      <c r="C1974" t="s">
        <v>2381</v>
      </c>
    </row>
    <row r="1975" spans="1:3" x14ac:dyDescent="0.3">
      <c r="A1975" s="426">
        <v>42349</v>
      </c>
      <c r="B1975">
        <v>433.37</v>
      </c>
      <c r="C1975" t="s">
        <v>2382</v>
      </c>
    </row>
    <row r="1976" spans="1:3" x14ac:dyDescent="0.3">
      <c r="A1976" s="426">
        <v>42350</v>
      </c>
      <c r="B1976">
        <v>432.72</v>
      </c>
      <c r="C1976" t="s">
        <v>2383</v>
      </c>
    </row>
    <row r="1977" spans="1:3" x14ac:dyDescent="0.3">
      <c r="A1977" s="426">
        <v>42351</v>
      </c>
      <c r="B1977">
        <v>436.76</v>
      </c>
      <c r="C1977" t="s">
        <v>2384</v>
      </c>
    </row>
    <row r="1978" spans="1:3" x14ac:dyDescent="0.3">
      <c r="A1978" s="426">
        <v>42352</v>
      </c>
      <c r="B1978">
        <v>441.91</v>
      </c>
      <c r="C1978" t="s">
        <v>2385</v>
      </c>
    </row>
    <row r="1979" spans="1:3" x14ac:dyDescent="0.3">
      <c r="A1979" s="426">
        <v>42353</v>
      </c>
      <c r="B1979">
        <v>457.22</v>
      </c>
      <c r="C1979" t="s">
        <v>2386</v>
      </c>
    </row>
    <row r="1980" spans="1:3" x14ac:dyDescent="0.3">
      <c r="A1980" s="426">
        <v>42354</v>
      </c>
      <c r="B1980">
        <v>457.34</v>
      </c>
      <c r="C1980" t="s">
        <v>2387</v>
      </c>
    </row>
    <row r="1981" spans="1:3" x14ac:dyDescent="0.3">
      <c r="A1981" s="426">
        <v>42355</v>
      </c>
      <c r="B1981">
        <v>456.03</v>
      </c>
      <c r="C1981" t="s">
        <v>2388</v>
      </c>
    </row>
    <row r="1982" spans="1:3" x14ac:dyDescent="0.3">
      <c r="A1982" s="426">
        <v>42356</v>
      </c>
      <c r="B1982">
        <v>461.29</v>
      </c>
      <c r="C1982" t="s">
        <v>2389</v>
      </c>
    </row>
    <row r="1983" spans="1:3" x14ac:dyDescent="0.3">
      <c r="A1983" s="426">
        <v>42357</v>
      </c>
      <c r="B1983">
        <v>464.03</v>
      </c>
      <c r="C1983" t="s">
        <v>2390</v>
      </c>
    </row>
    <row r="1984" spans="1:3" x14ac:dyDescent="0.3">
      <c r="A1984" s="426">
        <v>42358</v>
      </c>
      <c r="B1984">
        <v>454.71</v>
      </c>
      <c r="C1984" t="s">
        <v>2391</v>
      </c>
    </row>
    <row r="1985" spans="1:3" x14ac:dyDescent="0.3">
      <c r="A1985" s="426">
        <v>42359</v>
      </c>
      <c r="B1985">
        <v>438.24</v>
      </c>
      <c r="C1985" t="s">
        <v>2392</v>
      </c>
    </row>
    <row r="1986" spans="1:3" x14ac:dyDescent="0.3">
      <c r="A1986" s="426">
        <v>42360</v>
      </c>
      <c r="B1986">
        <v>440.49</v>
      </c>
      <c r="C1986" t="s">
        <v>2393</v>
      </c>
    </row>
    <row r="1987" spans="1:3" x14ac:dyDescent="0.3">
      <c r="A1987" s="426">
        <v>42361</v>
      </c>
      <c r="B1987">
        <v>442.08</v>
      </c>
      <c r="C1987" t="s">
        <v>2394</v>
      </c>
    </row>
    <row r="1988" spans="1:3" x14ac:dyDescent="0.3">
      <c r="A1988" s="426">
        <v>42362</v>
      </c>
      <c r="B1988">
        <v>455.24</v>
      </c>
      <c r="C1988" t="s">
        <v>2395</v>
      </c>
    </row>
    <row r="1989" spans="1:3" x14ac:dyDescent="0.3">
      <c r="A1989" s="426">
        <v>42363</v>
      </c>
      <c r="B1989">
        <v>455.98</v>
      </c>
      <c r="C1989" t="s">
        <v>2396</v>
      </c>
    </row>
    <row r="1990" spans="1:3" x14ac:dyDescent="0.3">
      <c r="A1990" s="426">
        <v>42364</v>
      </c>
      <c r="B1990">
        <v>430.63</v>
      </c>
      <c r="C1990" t="s">
        <v>2397</v>
      </c>
    </row>
    <row r="1991" spans="1:3" x14ac:dyDescent="0.3">
      <c r="A1991" s="426">
        <v>42365</v>
      </c>
      <c r="B1991">
        <v>419.61</v>
      </c>
      <c r="C1991" t="s">
        <v>2398</v>
      </c>
    </row>
    <row r="1992" spans="1:3" x14ac:dyDescent="0.3">
      <c r="A1992" s="426">
        <v>42366</v>
      </c>
      <c r="B1992">
        <v>425.84</v>
      </c>
      <c r="C1992" t="s">
        <v>2399</v>
      </c>
    </row>
    <row r="1993" spans="1:3" x14ac:dyDescent="0.3">
      <c r="A1993" s="426">
        <v>42367</v>
      </c>
      <c r="B1993">
        <v>426.94</v>
      </c>
      <c r="C1993" t="s">
        <v>2400</v>
      </c>
    </row>
    <row r="1994" spans="1:3" x14ac:dyDescent="0.3">
      <c r="A1994" s="426">
        <v>42368</v>
      </c>
      <c r="B1994">
        <v>430.72</v>
      </c>
      <c r="C1994" t="s">
        <v>2401</v>
      </c>
    </row>
    <row r="1995" spans="1:3" x14ac:dyDescent="0.3">
      <c r="A1995" s="426">
        <v>42369</v>
      </c>
      <c r="B1995">
        <v>427.23</v>
      </c>
      <c r="C1995" t="s">
        <v>2402</v>
      </c>
    </row>
    <row r="1996" spans="1:3" x14ac:dyDescent="0.3">
      <c r="A1996" s="426">
        <v>42370</v>
      </c>
      <c r="B1996">
        <v>433.86</v>
      </c>
      <c r="C1996" t="s">
        <v>2403</v>
      </c>
    </row>
    <row r="1997" spans="1:3" x14ac:dyDescent="0.3">
      <c r="A1997" s="426">
        <v>42371</v>
      </c>
      <c r="B1997">
        <v>434.7</v>
      </c>
      <c r="C1997" t="s">
        <v>2404</v>
      </c>
    </row>
    <row r="1998" spans="1:3" x14ac:dyDescent="0.3">
      <c r="A1998" s="426">
        <v>42372</v>
      </c>
      <c r="B1998">
        <v>431.25</v>
      </c>
      <c r="C1998" t="s">
        <v>2405</v>
      </c>
    </row>
    <row r="1999" spans="1:3" x14ac:dyDescent="0.3">
      <c r="A1999" s="426">
        <v>42373</v>
      </c>
      <c r="B1999">
        <v>432.09</v>
      </c>
      <c r="C1999" t="s">
        <v>2406</v>
      </c>
    </row>
    <row r="2000" spans="1:3" x14ac:dyDescent="0.3">
      <c r="A2000" s="426">
        <v>42374</v>
      </c>
      <c r="B2000">
        <v>433.34</v>
      </c>
      <c r="C2000" t="s">
        <v>2407</v>
      </c>
    </row>
    <row r="2001" spans="1:3" x14ac:dyDescent="0.3">
      <c r="A2001" s="426">
        <v>42375</v>
      </c>
      <c r="B2001">
        <v>432.23</v>
      </c>
      <c r="C2001" t="s">
        <v>2408</v>
      </c>
    </row>
    <row r="2002" spans="1:3" x14ac:dyDescent="0.3">
      <c r="A2002" s="426">
        <v>42376</v>
      </c>
      <c r="B2002">
        <v>449.62</v>
      </c>
      <c r="C2002" t="s">
        <v>2409</v>
      </c>
    </row>
    <row r="2003" spans="1:3" x14ac:dyDescent="0.3">
      <c r="A2003" s="426">
        <v>42377</v>
      </c>
      <c r="B2003">
        <v>456</v>
      </c>
      <c r="C2003" t="s">
        <v>2410</v>
      </c>
    </row>
    <row r="2004" spans="1:3" x14ac:dyDescent="0.3">
      <c r="A2004" s="426">
        <v>42378</v>
      </c>
      <c r="B2004">
        <v>451.75</v>
      </c>
      <c r="C2004" t="s">
        <v>2411</v>
      </c>
    </row>
    <row r="2005" spans="1:3" x14ac:dyDescent="0.3">
      <c r="A2005" s="426">
        <v>42379</v>
      </c>
      <c r="B2005">
        <v>446.7</v>
      </c>
      <c r="C2005" t="s">
        <v>2412</v>
      </c>
    </row>
    <row r="2006" spans="1:3" x14ac:dyDescent="0.3">
      <c r="A2006" s="426">
        <v>42380</v>
      </c>
      <c r="B2006">
        <v>448.74</v>
      </c>
      <c r="C2006" t="s">
        <v>2413</v>
      </c>
    </row>
    <row r="2007" spans="1:3" x14ac:dyDescent="0.3">
      <c r="A2007" s="426">
        <v>42381</v>
      </c>
      <c r="B2007">
        <v>448.6</v>
      </c>
      <c r="C2007" t="s">
        <v>2414</v>
      </c>
    </row>
    <row r="2008" spans="1:3" x14ac:dyDescent="0.3">
      <c r="A2008" s="426">
        <v>42382</v>
      </c>
      <c r="B2008">
        <v>431.18</v>
      </c>
      <c r="C2008" t="s">
        <v>2415</v>
      </c>
    </row>
    <row r="2009" spans="1:3" x14ac:dyDescent="0.3">
      <c r="A2009" s="426">
        <v>42383</v>
      </c>
      <c r="B2009">
        <v>432.41</v>
      </c>
      <c r="C2009" t="s">
        <v>2416</v>
      </c>
    </row>
    <row r="2010" spans="1:3" x14ac:dyDescent="0.3">
      <c r="A2010" s="426">
        <v>42384</v>
      </c>
      <c r="B2010">
        <v>403.18</v>
      </c>
      <c r="C2010" t="s">
        <v>2417</v>
      </c>
    </row>
    <row r="2011" spans="1:3" x14ac:dyDescent="0.3">
      <c r="A2011" s="426">
        <v>42385</v>
      </c>
      <c r="B2011">
        <v>372.47</v>
      </c>
      <c r="C2011" t="s">
        <v>2418</v>
      </c>
    </row>
    <row r="2012" spans="1:3" x14ac:dyDescent="0.3">
      <c r="A2012" s="426">
        <v>42386</v>
      </c>
      <c r="B2012">
        <v>385.85</v>
      </c>
      <c r="C2012" t="s">
        <v>2419</v>
      </c>
    </row>
    <row r="2013" spans="1:3" x14ac:dyDescent="0.3">
      <c r="A2013" s="426">
        <v>42387</v>
      </c>
      <c r="B2013">
        <v>384.91</v>
      </c>
      <c r="C2013" t="s">
        <v>2420</v>
      </c>
    </row>
    <row r="2014" spans="1:3" x14ac:dyDescent="0.3">
      <c r="A2014" s="426">
        <v>42388</v>
      </c>
      <c r="B2014">
        <v>385.61</v>
      </c>
      <c r="C2014" t="s">
        <v>2421</v>
      </c>
    </row>
    <row r="2015" spans="1:3" x14ac:dyDescent="0.3">
      <c r="A2015" s="426">
        <v>42389</v>
      </c>
      <c r="B2015">
        <v>394.3</v>
      </c>
      <c r="C2015" t="s">
        <v>2422</v>
      </c>
    </row>
    <row r="2016" spans="1:3" x14ac:dyDescent="0.3">
      <c r="A2016" s="426">
        <v>42390</v>
      </c>
      <c r="B2016">
        <v>415.17</v>
      </c>
      <c r="C2016" t="s">
        <v>2423</v>
      </c>
    </row>
    <row r="2017" spans="1:3" x14ac:dyDescent="0.3">
      <c r="A2017" s="426">
        <v>42391</v>
      </c>
      <c r="B2017">
        <v>395.35</v>
      </c>
      <c r="C2017" t="s">
        <v>2424</v>
      </c>
    </row>
    <row r="2018" spans="1:3" x14ac:dyDescent="0.3">
      <c r="A2018" s="426">
        <v>42392</v>
      </c>
      <c r="B2018">
        <v>390.34</v>
      </c>
      <c r="C2018" t="s">
        <v>2425</v>
      </c>
    </row>
    <row r="2019" spans="1:3" x14ac:dyDescent="0.3">
      <c r="A2019" s="426">
        <v>42393</v>
      </c>
      <c r="B2019">
        <v>398.22</v>
      </c>
      <c r="C2019" t="s">
        <v>2426</v>
      </c>
    </row>
    <row r="2020" spans="1:3" x14ac:dyDescent="0.3">
      <c r="A2020" s="426">
        <v>42394</v>
      </c>
      <c r="B2020">
        <v>397.98</v>
      </c>
      <c r="C2020" t="s">
        <v>2427</v>
      </c>
    </row>
    <row r="2021" spans="1:3" x14ac:dyDescent="0.3">
      <c r="A2021" s="426">
        <v>42395</v>
      </c>
      <c r="B2021">
        <v>396.03</v>
      </c>
      <c r="C2021" t="s">
        <v>2428</v>
      </c>
    </row>
    <row r="2022" spans="1:3" x14ac:dyDescent="0.3">
      <c r="A2022" s="426">
        <v>42396</v>
      </c>
      <c r="B2022">
        <v>397.4</v>
      </c>
      <c r="C2022" t="s">
        <v>2429</v>
      </c>
    </row>
    <row r="2023" spans="1:3" x14ac:dyDescent="0.3">
      <c r="A2023" s="426">
        <v>42397</v>
      </c>
      <c r="B2023">
        <v>386.56</v>
      </c>
      <c r="C2023" t="s">
        <v>2430</v>
      </c>
    </row>
    <row r="2024" spans="1:3" x14ac:dyDescent="0.3">
      <c r="A2024" s="426">
        <v>42398</v>
      </c>
      <c r="B2024">
        <v>377.41</v>
      </c>
      <c r="C2024" t="s">
        <v>2431</v>
      </c>
    </row>
    <row r="2025" spans="1:3" x14ac:dyDescent="0.3">
      <c r="A2025" s="426">
        <v>42399</v>
      </c>
      <c r="B2025">
        <v>380.7</v>
      </c>
      <c r="C2025" t="s">
        <v>2432</v>
      </c>
    </row>
    <row r="2026" spans="1:3" x14ac:dyDescent="0.3">
      <c r="A2026" s="426">
        <v>42400</v>
      </c>
      <c r="B2026">
        <v>380.6</v>
      </c>
      <c r="C2026" t="s">
        <v>2433</v>
      </c>
    </row>
    <row r="2027" spans="1:3" x14ac:dyDescent="0.3">
      <c r="A2027" s="426">
        <v>42401</v>
      </c>
      <c r="B2027">
        <v>375.03</v>
      </c>
      <c r="C2027" t="s">
        <v>2434</v>
      </c>
    </row>
    <row r="2028" spans="1:3" x14ac:dyDescent="0.3">
      <c r="A2028" s="426">
        <v>42402</v>
      </c>
      <c r="B2028">
        <v>376.92</v>
      </c>
      <c r="C2028" t="s">
        <v>2435</v>
      </c>
    </row>
    <row r="2029" spans="1:3" x14ac:dyDescent="0.3">
      <c r="A2029" s="426">
        <v>42403</v>
      </c>
      <c r="B2029">
        <v>375.56</v>
      </c>
      <c r="C2029" t="s">
        <v>2436</v>
      </c>
    </row>
    <row r="2030" spans="1:3" x14ac:dyDescent="0.3">
      <c r="A2030" s="426">
        <v>42404</v>
      </c>
      <c r="B2030">
        <v>380.51</v>
      </c>
      <c r="C2030" t="s">
        <v>2437</v>
      </c>
    </row>
    <row r="2031" spans="1:3" x14ac:dyDescent="0.3">
      <c r="A2031" s="426">
        <v>42405</v>
      </c>
      <c r="B2031">
        <v>389.02</v>
      </c>
      <c r="C2031" t="s">
        <v>2438</v>
      </c>
    </row>
    <row r="2032" spans="1:3" x14ac:dyDescent="0.3">
      <c r="A2032" s="426">
        <v>42406</v>
      </c>
      <c r="B2032">
        <v>378.42</v>
      </c>
      <c r="C2032" t="s">
        <v>2439</v>
      </c>
    </row>
    <row r="2033" spans="1:3" x14ac:dyDescent="0.3">
      <c r="A2033" s="426">
        <v>42407</v>
      </c>
      <c r="B2033">
        <v>378.74</v>
      </c>
      <c r="C2033" t="s">
        <v>2440</v>
      </c>
    </row>
    <row r="2034" spans="1:3" x14ac:dyDescent="0.3">
      <c r="A2034" s="426">
        <v>42408</v>
      </c>
      <c r="B2034">
        <v>378.33</v>
      </c>
      <c r="C2034" t="s">
        <v>2441</v>
      </c>
    </row>
    <row r="2035" spans="1:3" x14ac:dyDescent="0.3">
      <c r="A2035" s="426">
        <v>42409</v>
      </c>
      <c r="B2035">
        <v>374.85</v>
      </c>
      <c r="C2035" t="s">
        <v>2442</v>
      </c>
    </row>
    <row r="2036" spans="1:3" x14ac:dyDescent="0.3">
      <c r="A2036" s="426">
        <v>42410</v>
      </c>
      <c r="B2036">
        <v>381.09</v>
      </c>
      <c r="C2036" t="s">
        <v>2443</v>
      </c>
    </row>
    <row r="2037" spans="1:3" x14ac:dyDescent="0.3">
      <c r="A2037" s="426">
        <v>42411</v>
      </c>
      <c r="B2037">
        <v>379.78</v>
      </c>
      <c r="C2037" t="s">
        <v>2444</v>
      </c>
    </row>
    <row r="2038" spans="1:3" x14ac:dyDescent="0.3">
      <c r="A2038" s="426">
        <v>42412</v>
      </c>
      <c r="B2038">
        <v>383.12</v>
      </c>
      <c r="C2038" t="s">
        <v>2445</v>
      </c>
    </row>
    <row r="2039" spans="1:3" x14ac:dyDescent="0.3">
      <c r="A2039" s="426">
        <v>42413</v>
      </c>
      <c r="B2039">
        <v>390.52</v>
      </c>
      <c r="C2039" t="s">
        <v>2446</v>
      </c>
    </row>
    <row r="2040" spans="1:3" x14ac:dyDescent="0.3">
      <c r="A2040" s="426">
        <v>42414</v>
      </c>
      <c r="B2040">
        <v>400.51</v>
      </c>
      <c r="C2040" t="s">
        <v>2447</v>
      </c>
    </row>
    <row r="2041" spans="1:3" x14ac:dyDescent="0.3">
      <c r="A2041" s="426">
        <v>42415</v>
      </c>
      <c r="B2041">
        <v>404.46</v>
      </c>
      <c r="C2041" t="s">
        <v>2448</v>
      </c>
    </row>
    <row r="2042" spans="1:3" x14ac:dyDescent="0.3">
      <c r="A2042" s="426">
        <v>42416</v>
      </c>
      <c r="B2042">
        <v>404.68</v>
      </c>
      <c r="C2042" t="s">
        <v>2449</v>
      </c>
    </row>
    <row r="2043" spans="1:3" x14ac:dyDescent="0.3">
      <c r="A2043" s="426">
        <v>42417</v>
      </c>
      <c r="B2043">
        <v>415.28</v>
      </c>
      <c r="C2043" t="s">
        <v>2450</v>
      </c>
    </row>
    <row r="2044" spans="1:3" x14ac:dyDescent="0.3">
      <c r="A2044" s="426">
        <v>42418</v>
      </c>
      <c r="B2044">
        <v>420.8</v>
      </c>
      <c r="C2044" t="s">
        <v>2451</v>
      </c>
    </row>
    <row r="2045" spans="1:3" x14ac:dyDescent="0.3">
      <c r="A2045" s="426">
        <v>42419</v>
      </c>
      <c r="B2045">
        <v>420.92</v>
      </c>
      <c r="C2045" t="s">
        <v>2452</v>
      </c>
    </row>
    <row r="2046" spans="1:3" x14ac:dyDescent="0.3">
      <c r="A2046" s="426">
        <v>42420</v>
      </c>
      <c r="B2046">
        <v>431.25</v>
      </c>
      <c r="C2046" t="s">
        <v>2453</v>
      </c>
    </row>
    <row r="2047" spans="1:3" x14ac:dyDescent="0.3">
      <c r="A2047" s="426">
        <v>42421</v>
      </c>
      <c r="B2047">
        <v>439.32</v>
      </c>
      <c r="C2047" t="s">
        <v>2454</v>
      </c>
    </row>
    <row r="2048" spans="1:3" x14ac:dyDescent="0.3">
      <c r="A2048" s="426">
        <v>42422</v>
      </c>
      <c r="B2048">
        <v>437.45</v>
      </c>
      <c r="C2048" t="s">
        <v>2455</v>
      </c>
    </row>
    <row r="2049" spans="1:3" x14ac:dyDescent="0.3">
      <c r="A2049" s="426">
        <v>42423</v>
      </c>
      <c r="B2049">
        <v>429.85</v>
      </c>
      <c r="C2049" t="s">
        <v>2456</v>
      </c>
    </row>
    <row r="2050" spans="1:3" x14ac:dyDescent="0.3">
      <c r="A2050" s="426">
        <v>42424</v>
      </c>
      <c r="B2050">
        <v>423.54</v>
      </c>
      <c r="C2050" t="s">
        <v>2457</v>
      </c>
    </row>
    <row r="2051" spans="1:3" x14ac:dyDescent="0.3">
      <c r="A2051" s="426">
        <v>42425</v>
      </c>
      <c r="B2051">
        <v>424.66</v>
      </c>
      <c r="C2051" t="s">
        <v>2458</v>
      </c>
    </row>
    <row r="2052" spans="1:3" x14ac:dyDescent="0.3">
      <c r="A2052" s="426">
        <v>42426</v>
      </c>
      <c r="B2052">
        <v>425.47</v>
      </c>
      <c r="C2052" t="s">
        <v>2459</v>
      </c>
    </row>
    <row r="2053" spans="1:3" x14ac:dyDescent="0.3">
      <c r="A2053" s="426">
        <v>42427</v>
      </c>
      <c r="B2053">
        <v>434.18</v>
      </c>
      <c r="C2053" t="s">
        <v>2460</v>
      </c>
    </row>
    <row r="2054" spans="1:3" x14ac:dyDescent="0.3">
      <c r="A2054" s="426">
        <v>42428</v>
      </c>
      <c r="B2054">
        <v>431.3</v>
      </c>
      <c r="C2054" t="s">
        <v>2461</v>
      </c>
    </row>
    <row r="2055" spans="1:3" x14ac:dyDescent="0.3">
      <c r="A2055" s="426">
        <v>42429</v>
      </c>
      <c r="B2055">
        <v>437.64</v>
      </c>
      <c r="C2055" t="s">
        <v>2462</v>
      </c>
    </row>
    <row r="2056" spans="1:3" x14ac:dyDescent="0.3">
      <c r="A2056" s="426">
        <v>42430</v>
      </c>
      <c r="B2056">
        <v>436.43</v>
      </c>
      <c r="C2056" t="s">
        <v>2463</v>
      </c>
    </row>
    <row r="2057" spans="1:3" x14ac:dyDescent="0.3">
      <c r="A2057" s="426">
        <v>42431</v>
      </c>
      <c r="B2057">
        <v>434.22</v>
      </c>
      <c r="C2057" t="s">
        <v>2464</v>
      </c>
    </row>
    <row r="2058" spans="1:3" x14ac:dyDescent="0.3">
      <c r="A2058" s="426">
        <v>42432</v>
      </c>
      <c r="B2058">
        <v>423.56</v>
      </c>
      <c r="C2058" t="s">
        <v>2465</v>
      </c>
    </row>
    <row r="2059" spans="1:3" x14ac:dyDescent="0.3">
      <c r="A2059" s="426">
        <v>42433</v>
      </c>
      <c r="B2059">
        <v>422.41</v>
      </c>
      <c r="C2059" t="s">
        <v>2466</v>
      </c>
    </row>
    <row r="2060" spans="1:3" x14ac:dyDescent="0.3">
      <c r="A2060" s="426">
        <v>42434</v>
      </c>
      <c r="B2060">
        <v>405.29</v>
      </c>
      <c r="C2060" t="s">
        <v>2467</v>
      </c>
    </row>
    <row r="2061" spans="1:3" x14ac:dyDescent="0.3">
      <c r="A2061" s="426">
        <v>42435</v>
      </c>
      <c r="B2061">
        <v>405.38</v>
      </c>
      <c r="C2061" t="s">
        <v>2468</v>
      </c>
    </row>
    <row r="2062" spans="1:3" x14ac:dyDescent="0.3">
      <c r="A2062" s="426">
        <v>42436</v>
      </c>
      <c r="B2062">
        <v>411.5</v>
      </c>
      <c r="C2062" t="s">
        <v>2469</v>
      </c>
    </row>
    <row r="2063" spans="1:3" x14ac:dyDescent="0.3">
      <c r="A2063" s="426">
        <v>42437</v>
      </c>
      <c r="B2063">
        <v>415.33</v>
      </c>
      <c r="C2063" t="s">
        <v>2470</v>
      </c>
    </row>
    <row r="2064" spans="1:3" x14ac:dyDescent="0.3">
      <c r="A2064" s="426">
        <v>42438</v>
      </c>
      <c r="B2064">
        <v>415.38</v>
      </c>
      <c r="C2064" t="s">
        <v>2471</v>
      </c>
    </row>
    <row r="2065" spans="1:3" x14ac:dyDescent="0.3">
      <c r="A2065" s="426">
        <v>42439</v>
      </c>
      <c r="B2065">
        <v>417.85</v>
      </c>
      <c r="C2065" t="s">
        <v>2472</v>
      </c>
    </row>
    <row r="2066" spans="1:3" x14ac:dyDescent="0.3">
      <c r="A2066" s="426">
        <v>42440</v>
      </c>
      <c r="B2066">
        <v>422.33</v>
      </c>
      <c r="C2066" t="s">
        <v>2473</v>
      </c>
    </row>
    <row r="2067" spans="1:3" x14ac:dyDescent="0.3">
      <c r="A2067" s="426">
        <v>42441</v>
      </c>
      <c r="B2067">
        <v>416.76</v>
      </c>
      <c r="C2067" t="s">
        <v>2474</v>
      </c>
    </row>
    <row r="2068" spans="1:3" x14ac:dyDescent="0.3">
      <c r="A2068" s="426">
        <v>42442</v>
      </c>
      <c r="B2068">
        <v>415.67</v>
      </c>
      <c r="C2068" t="s">
        <v>2475</v>
      </c>
    </row>
    <row r="2069" spans="1:3" x14ac:dyDescent="0.3">
      <c r="A2069" s="426">
        <v>42443</v>
      </c>
      <c r="B2069">
        <v>416.43</v>
      </c>
      <c r="C2069" t="s">
        <v>2476</v>
      </c>
    </row>
    <row r="2070" spans="1:3" x14ac:dyDescent="0.3">
      <c r="A2070" s="426">
        <v>42444</v>
      </c>
      <c r="B2070">
        <v>419.1</v>
      </c>
      <c r="C2070" t="s">
        <v>2477</v>
      </c>
    </row>
    <row r="2071" spans="1:3" x14ac:dyDescent="0.3">
      <c r="A2071" s="426">
        <v>42445</v>
      </c>
      <c r="B2071">
        <v>419.08</v>
      </c>
      <c r="C2071" t="s">
        <v>2478</v>
      </c>
    </row>
    <row r="2072" spans="1:3" x14ac:dyDescent="0.3">
      <c r="A2072" s="426">
        <v>42446</v>
      </c>
      <c r="B2072">
        <v>422.92</v>
      </c>
      <c r="C2072" t="s">
        <v>2479</v>
      </c>
    </row>
    <row r="2073" spans="1:3" x14ac:dyDescent="0.3">
      <c r="A2073" s="426">
        <v>42447</v>
      </c>
      <c r="B2073">
        <v>417.12</v>
      </c>
      <c r="C2073" t="s">
        <v>2480</v>
      </c>
    </row>
    <row r="2074" spans="1:3" x14ac:dyDescent="0.3">
      <c r="A2074" s="426">
        <v>42448</v>
      </c>
      <c r="B2074">
        <v>411.56</v>
      </c>
      <c r="C2074" t="s">
        <v>2481</v>
      </c>
    </row>
    <row r="2075" spans="1:3" x14ac:dyDescent="0.3">
      <c r="A2075" s="426">
        <v>42449</v>
      </c>
      <c r="B2075">
        <v>414.24</v>
      </c>
      <c r="C2075" t="s">
        <v>2482</v>
      </c>
    </row>
    <row r="2076" spans="1:3" x14ac:dyDescent="0.3">
      <c r="A2076" s="426">
        <v>42450</v>
      </c>
      <c r="B2076">
        <v>412.88</v>
      </c>
      <c r="C2076" t="s">
        <v>2483</v>
      </c>
    </row>
    <row r="2077" spans="1:3" x14ac:dyDescent="0.3">
      <c r="A2077" s="426">
        <v>42451</v>
      </c>
      <c r="B2077">
        <v>419.45</v>
      </c>
      <c r="C2077" t="s">
        <v>2484</v>
      </c>
    </row>
    <row r="2078" spans="1:3" x14ac:dyDescent="0.3">
      <c r="A2078" s="426">
        <v>42452</v>
      </c>
      <c r="B2078">
        <v>420.58</v>
      </c>
      <c r="C2078" t="s">
        <v>2485</v>
      </c>
    </row>
    <row r="2079" spans="1:3" x14ac:dyDescent="0.3">
      <c r="A2079" s="426">
        <v>42453</v>
      </c>
      <c r="B2079">
        <v>420.29</v>
      </c>
      <c r="C2079" t="s">
        <v>2486</v>
      </c>
    </row>
    <row r="2080" spans="1:3" x14ac:dyDescent="0.3">
      <c r="A2080" s="426">
        <v>42454</v>
      </c>
      <c r="B2080">
        <v>420.57</v>
      </c>
      <c r="C2080" t="s">
        <v>2487</v>
      </c>
    </row>
    <row r="2081" spans="1:3" x14ac:dyDescent="0.3">
      <c r="A2081" s="426">
        <v>42455</v>
      </c>
      <c r="B2081">
        <v>420.76</v>
      </c>
      <c r="C2081" t="s">
        <v>2488</v>
      </c>
    </row>
    <row r="2082" spans="1:3" x14ac:dyDescent="0.3">
      <c r="A2082" s="426">
        <v>42456</v>
      </c>
      <c r="B2082">
        <v>422.77</v>
      </c>
      <c r="C2082" t="s">
        <v>2489</v>
      </c>
    </row>
    <row r="2083" spans="1:3" x14ac:dyDescent="0.3">
      <c r="A2083" s="426">
        <v>42457</v>
      </c>
      <c r="B2083">
        <v>425.56</v>
      </c>
      <c r="C2083" t="s">
        <v>2490</v>
      </c>
    </row>
    <row r="2084" spans="1:3" x14ac:dyDescent="0.3">
      <c r="A2084" s="426">
        <v>42458</v>
      </c>
      <c r="B2084">
        <v>421.94</v>
      </c>
      <c r="C2084" t="s">
        <v>2491</v>
      </c>
    </row>
    <row r="2085" spans="1:3" x14ac:dyDescent="0.3">
      <c r="A2085" s="426">
        <v>42459</v>
      </c>
      <c r="B2085">
        <v>416.7</v>
      </c>
      <c r="C2085" t="s">
        <v>2492</v>
      </c>
    </row>
    <row r="2086" spans="1:3" x14ac:dyDescent="0.3">
      <c r="A2086" s="426">
        <v>42460</v>
      </c>
      <c r="B2086">
        <v>419.06</v>
      </c>
      <c r="C2086" t="s">
        <v>2493</v>
      </c>
    </row>
    <row r="2087" spans="1:3" x14ac:dyDescent="0.3">
      <c r="A2087" s="426">
        <v>42461</v>
      </c>
      <c r="B2087">
        <v>418.92</v>
      </c>
      <c r="C2087" t="s">
        <v>2494</v>
      </c>
    </row>
    <row r="2088" spans="1:3" x14ac:dyDescent="0.3">
      <c r="A2088" s="426">
        <v>42462</v>
      </c>
      <c r="B2088">
        <v>422.39</v>
      </c>
      <c r="C2088" t="s">
        <v>2495</v>
      </c>
    </row>
    <row r="2089" spans="1:3" x14ac:dyDescent="0.3">
      <c r="A2089" s="426">
        <v>42463</v>
      </c>
      <c r="B2089">
        <v>422.49</v>
      </c>
      <c r="C2089" t="s">
        <v>2496</v>
      </c>
    </row>
    <row r="2090" spans="1:3" x14ac:dyDescent="0.3">
      <c r="A2090" s="426">
        <v>42464</v>
      </c>
      <c r="B2090">
        <v>421.99</v>
      </c>
      <c r="C2090" t="s">
        <v>2497</v>
      </c>
    </row>
    <row r="2091" spans="1:3" x14ac:dyDescent="0.3">
      <c r="A2091" s="426">
        <v>42465</v>
      </c>
      <c r="B2091">
        <v>424.42</v>
      </c>
      <c r="C2091" t="s">
        <v>2498</v>
      </c>
    </row>
    <row r="2092" spans="1:3" x14ac:dyDescent="0.3">
      <c r="A2092" s="426">
        <v>42466</v>
      </c>
      <c r="B2092">
        <v>425.25</v>
      </c>
      <c r="C2092" t="s">
        <v>2499</v>
      </c>
    </row>
    <row r="2093" spans="1:3" x14ac:dyDescent="0.3">
      <c r="A2093" s="426">
        <v>42467</v>
      </c>
      <c r="B2093">
        <v>423.69</v>
      </c>
      <c r="C2093" t="s">
        <v>2500</v>
      </c>
    </row>
    <row r="2094" spans="1:3" x14ac:dyDescent="0.3">
      <c r="A2094" s="426">
        <v>42468</v>
      </c>
      <c r="B2094">
        <v>424.49</v>
      </c>
      <c r="C2094" t="s">
        <v>2501</v>
      </c>
    </row>
    <row r="2095" spans="1:3" x14ac:dyDescent="0.3">
      <c r="A2095" s="426">
        <v>42469</v>
      </c>
      <c r="B2095">
        <v>419.64</v>
      </c>
      <c r="C2095" t="s">
        <v>2502</v>
      </c>
    </row>
    <row r="2096" spans="1:3" x14ac:dyDescent="0.3">
      <c r="A2096" s="426">
        <v>42470</v>
      </c>
      <c r="B2096">
        <v>422.28</v>
      </c>
      <c r="C2096" t="s">
        <v>2503</v>
      </c>
    </row>
    <row r="2097" spans="1:3" x14ac:dyDescent="0.3">
      <c r="A2097" s="426">
        <v>42471</v>
      </c>
      <c r="B2097">
        <v>423.79</v>
      </c>
      <c r="C2097" t="s">
        <v>2504</v>
      </c>
    </row>
    <row r="2098" spans="1:3" x14ac:dyDescent="0.3">
      <c r="A2098" s="426">
        <v>42472</v>
      </c>
      <c r="B2098">
        <v>426.37</v>
      </c>
      <c r="C2098" t="s">
        <v>2505</v>
      </c>
    </row>
    <row r="2099" spans="1:3" x14ac:dyDescent="0.3">
      <c r="A2099" s="426">
        <v>42473</v>
      </c>
      <c r="B2099">
        <v>425.22</v>
      </c>
      <c r="C2099" t="s">
        <v>2506</v>
      </c>
    </row>
    <row r="2100" spans="1:3" x14ac:dyDescent="0.3">
      <c r="A2100" s="426">
        <v>42474</v>
      </c>
      <c r="B2100">
        <v>425.84</v>
      </c>
      <c r="C2100" t="s">
        <v>2507</v>
      </c>
    </row>
    <row r="2101" spans="1:3" x14ac:dyDescent="0.3">
      <c r="A2101" s="426">
        <v>42475</v>
      </c>
      <c r="B2101">
        <v>429.19</v>
      </c>
      <c r="C2101" t="s">
        <v>2508</v>
      </c>
    </row>
    <row r="2102" spans="1:3" x14ac:dyDescent="0.3">
      <c r="A2102" s="426">
        <v>42476</v>
      </c>
      <c r="B2102">
        <v>432.87</v>
      </c>
      <c r="C2102" t="s">
        <v>2509</v>
      </c>
    </row>
    <row r="2103" spans="1:3" x14ac:dyDescent="0.3">
      <c r="A2103" s="426">
        <v>42477</v>
      </c>
      <c r="B2103">
        <v>431.66</v>
      </c>
      <c r="C2103" t="s">
        <v>2510</v>
      </c>
    </row>
    <row r="2104" spans="1:3" x14ac:dyDescent="0.3">
      <c r="A2104" s="426">
        <v>42478</v>
      </c>
      <c r="B2104">
        <v>430.12</v>
      </c>
      <c r="C2104" t="s">
        <v>2511</v>
      </c>
    </row>
    <row r="2105" spans="1:3" x14ac:dyDescent="0.3">
      <c r="A2105" s="426">
        <v>42479</v>
      </c>
      <c r="B2105">
        <v>432.57</v>
      </c>
      <c r="C2105" t="s">
        <v>2512</v>
      </c>
    </row>
    <row r="2106" spans="1:3" x14ac:dyDescent="0.3">
      <c r="A2106" s="426">
        <v>42480</v>
      </c>
      <c r="B2106">
        <v>438.88</v>
      </c>
      <c r="C2106" t="s">
        <v>2513</v>
      </c>
    </row>
    <row r="2107" spans="1:3" x14ac:dyDescent="0.3">
      <c r="A2107" s="426">
        <v>42481</v>
      </c>
      <c r="B2107">
        <v>445.08</v>
      </c>
      <c r="C2107" t="s">
        <v>2514</v>
      </c>
    </row>
    <row r="2108" spans="1:3" x14ac:dyDescent="0.3">
      <c r="A2108" s="426">
        <v>42482</v>
      </c>
      <c r="B2108">
        <v>446.96</v>
      </c>
      <c r="C2108" t="s">
        <v>2515</v>
      </c>
    </row>
    <row r="2109" spans="1:3" x14ac:dyDescent="0.3">
      <c r="A2109" s="426">
        <v>42483</v>
      </c>
      <c r="B2109">
        <v>448.89</v>
      </c>
      <c r="C2109" t="s">
        <v>2516</v>
      </c>
    </row>
    <row r="2110" spans="1:3" x14ac:dyDescent="0.3">
      <c r="A2110" s="426">
        <v>42484</v>
      </c>
      <c r="B2110">
        <v>455.35</v>
      </c>
      <c r="C2110" t="s">
        <v>2517</v>
      </c>
    </row>
    <row r="2111" spans="1:3" x14ac:dyDescent="0.3">
      <c r="A2111" s="426">
        <v>42485</v>
      </c>
      <c r="B2111">
        <v>460.59</v>
      </c>
      <c r="C2111" t="s">
        <v>2518</v>
      </c>
    </row>
    <row r="2112" spans="1:3" x14ac:dyDescent="0.3">
      <c r="A2112" s="426">
        <v>42486</v>
      </c>
      <c r="B2112">
        <v>466.38</v>
      </c>
      <c r="C2112" t="s">
        <v>2519</v>
      </c>
    </row>
    <row r="2113" spans="1:3" x14ac:dyDescent="0.3">
      <c r="A2113" s="426">
        <v>42487</v>
      </c>
      <c r="B2113">
        <v>461.41</v>
      </c>
      <c r="C2113" t="s">
        <v>2520</v>
      </c>
    </row>
    <row r="2114" spans="1:3" x14ac:dyDescent="0.3">
      <c r="A2114" s="426">
        <v>42488</v>
      </c>
      <c r="B2114">
        <v>446.85</v>
      </c>
      <c r="C2114" t="s">
        <v>2521</v>
      </c>
    </row>
    <row r="2115" spans="1:3" x14ac:dyDescent="0.3">
      <c r="A2115" s="426">
        <v>42489</v>
      </c>
      <c r="B2115">
        <v>452.92</v>
      </c>
      <c r="C2115" t="s">
        <v>2522</v>
      </c>
    </row>
    <row r="2116" spans="1:3" x14ac:dyDescent="0.3">
      <c r="A2116" s="426">
        <v>42490</v>
      </c>
      <c r="B2116">
        <v>454.91</v>
      </c>
      <c r="C2116" t="s">
        <v>2523</v>
      </c>
    </row>
    <row r="2117" spans="1:3" x14ac:dyDescent="0.3">
      <c r="A2117" s="426">
        <v>42491</v>
      </c>
      <c r="B2117">
        <v>453.59</v>
      </c>
      <c r="C2117" t="s">
        <v>2524</v>
      </c>
    </row>
    <row r="2118" spans="1:3" x14ac:dyDescent="0.3">
      <c r="A2118" s="426">
        <v>42492</v>
      </c>
      <c r="B2118">
        <v>448.63</v>
      </c>
      <c r="C2118" t="s">
        <v>2525</v>
      </c>
    </row>
    <row r="2119" spans="1:3" x14ac:dyDescent="0.3">
      <c r="A2119" s="426">
        <v>42493</v>
      </c>
      <c r="B2119">
        <v>448.5</v>
      </c>
      <c r="C2119" t="s">
        <v>2526</v>
      </c>
    </row>
    <row r="2120" spans="1:3" x14ac:dyDescent="0.3">
      <c r="A2120" s="426">
        <v>42494</v>
      </c>
      <c r="B2120">
        <v>449.2</v>
      </c>
      <c r="C2120" t="s">
        <v>2527</v>
      </c>
    </row>
    <row r="2121" spans="1:3" x14ac:dyDescent="0.3">
      <c r="A2121" s="426">
        <v>42495</v>
      </c>
      <c r="B2121">
        <v>449.25</v>
      </c>
      <c r="C2121" t="s">
        <v>2528</v>
      </c>
    </row>
    <row r="2122" spans="1:3" x14ac:dyDescent="0.3">
      <c r="A2122" s="426">
        <v>42496</v>
      </c>
      <c r="B2122">
        <v>453.8</v>
      </c>
      <c r="C2122" t="s">
        <v>2529</v>
      </c>
    </row>
    <row r="2123" spans="1:3" x14ac:dyDescent="0.3">
      <c r="A2123" s="426">
        <v>42497</v>
      </c>
      <c r="B2123">
        <v>460.07</v>
      </c>
      <c r="C2123" t="s">
        <v>2530</v>
      </c>
    </row>
    <row r="2124" spans="1:3" x14ac:dyDescent="0.3">
      <c r="A2124" s="426">
        <v>42498</v>
      </c>
      <c r="B2124">
        <v>460.73</v>
      </c>
      <c r="C2124" t="s">
        <v>2531</v>
      </c>
    </row>
    <row r="2125" spans="1:3" x14ac:dyDescent="0.3">
      <c r="A2125" s="426">
        <v>42499</v>
      </c>
      <c r="B2125">
        <v>461.89</v>
      </c>
      <c r="C2125" t="s">
        <v>2532</v>
      </c>
    </row>
    <row r="2126" spans="1:3" x14ac:dyDescent="0.3">
      <c r="A2126" s="426">
        <v>42500</v>
      </c>
      <c r="B2126">
        <v>458.41</v>
      </c>
      <c r="C2126" t="s">
        <v>2533</v>
      </c>
    </row>
    <row r="2127" spans="1:3" x14ac:dyDescent="0.3">
      <c r="A2127" s="426">
        <v>42501</v>
      </c>
      <c r="B2127">
        <v>455.93</v>
      </c>
      <c r="C2127" t="s">
        <v>2534</v>
      </c>
    </row>
    <row r="2128" spans="1:3" x14ac:dyDescent="0.3">
      <c r="A2128" s="426">
        <v>42502</v>
      </c>
      <c r="B2128">
        <v>454.42</v>
      </c>
      <c r="C2128" t="s">
        <v>2535</v>
      </c>
    </row>
    <row r="2129" spans="1:3" x14ac:dyDescent="0.3">
      <c r="A2129" s="426">
        <v>42503</v>
      </c>
      <c r="B2129">
        <v>457.41</v>
      </c>
      <c r="C2129" t="s">
        <v>2536</v>
      </c>
    </row>
    <row r="2130" spans="1:3" x14ac:dyDescent="0.3">
      <c r="A2130" s="426">
        <v>42504</v>
      </c>
      <c r="B2130">
        <v>459.1</v>
      </c>
      <c r="C2130" t="s">
        <v>2537</v>
      </c>
    </row>
    <row r="2131" spans="1:3" x14ac:dyDescent="0.3">
      <c r="A2131" s="426">
        <v>42505</v>
      </c>
      <c r="B2131">
        <v>461.01</v>
      </c>
      <c r="C2131" t="s">
        <v>2538</v>
      </c>
    </row>
    <row r="2132" spans="1:3" x14ac:dyDescent="0.3">
      <c r="A2132" s="426">
        <v>42506</v>
      </c>
      <c r="B2132">
        <v>459.7</v>
      </c>
      <c r="C2132" t="s">
        <v>2539</v>
      </c>
    </row>
    <row r="2133" spans="1:3" x14ac:dyDescent="0.3">
      <c r="A2133" s="426">
        <v>42507</v>
      </c>
      <c r="B2133">
        <v>457.91</v>
      </c>
      <c r="C2133" t="s">
        <v>2540</v>
      </c>
    </row>
    <row r="2134" spans="1:3" x14ac:dyDescent="0.3">
      <c r="A2134" s="426">
        <v>42508</v>
      </c>
      <c r="B2134">
        <v>457.95</v>
      </c>
      <c r="C2134" t="s">
        <v>2541</v>
      </c>
    </row>
    <row r="2135" spans="1:3" x14ac:dyDescent="0.3">
      <c r="A2135" s="426">
        <v>42509</v>
      </c>
      <c r="B2135">
        <v>453.52</v>
      </c>
      <c r="C2135" t="s">
        <v>2542</v>
      </c>
    </row>
    <row r="2136" spans="1:3" x14ac:dyDescent="0.3">
      <c r="A2136" s="426">
        <v>42510</v>
      </c>
      <c r="B2136">
        <v>444.64</v>
      </c>
      <c r="C2136" t="s">
        <v>2543</v>
      </c>
    </row>
    <row r="2137" spans="1:3" x14ac:dyDescent="0.3">
      <c r="A2137" s="426">
        <v>42511</v>
      </c>
      <c r="B2137">
        <v>446.57</v>
      </c>
      <c r="C2137" t="s">
        <v>2544</v>
      </c>
    </row>
    <row r="2138" spans="1:3" x14ac:dyDescent="0.3">
      <c r="A2138" s="426">
        <v>42512</v>
      </c>
      <c r="B2138">
        <v>445.31</v>
      </c>
      <c r="C2138" t="s">
        <v>2545</v>
      </c>
    </row>
    <row r="2139" spans="1:3" x14ac:dyDescent="0.3">
      <c r="A2139" s="426">
        <v>42513</v>
      </c>
      <c r="B2139">
        <v>444.65</v>
      </c>
      <c r="C2139" t="s">
        <v>2546</v>
      </c>
    </row>
    <row r="2140" spans="1:3" x14ac:dyDescent="0.3">
      <c r="A2140" s="426">
        <v>42514</v>
      </c>
      <c r="B2140">
        <v>449.43</v>
      </c>
      <c r="C2140" t="s">
        <v>2547</v>
      </c>
    </row>
    <row r="2141" spans="1:3" x14ac:dyDescent="0.3">
      <c r="A2141" s="426">
        <v>42515</v>
      </c>
      <c r="B2141">
        <v>452.31</v>
      </c>
      <c r="C2141" t="s">
        <v>2548</v>
      </c>
    </row>
    <row r="2142" spans="1:3" x14ac:dyDescent="0.3">
      <c r="A2142" s="426">
        <v>42516</v>
      </c>
      <c r="B2142">
        <v>454.52</v>
      </c>
      <c r="C2142" t="s">
        <v>2549</v>
      </c>
    </row>
    <row r="2143" spans="1:3" x14ac:dyDescent="0.3">
      <c r="A2143" s="426">
        <v>42517</v>
      </c>
      <c r="B2143">
        <v>472.88</v>
      </c>
      <c r="C2143" t="s">
        <v>2550</v>
      </c>
    </row>
    <row r="2144" spans="1:3" x14ac:dyDescent="0.3">
      <c r="A2144" s="426">
        <v>42518</v>
      </c>
      <c r="B2144">
        <v>498.4</v>
      </c>
      <c r="C2144" t="s">
        <v>2551</v>
      </c>
    </row>
    <row r="2145" spans="1:3" x14ac:dyDescent="0.3">
      <c r="A2145" s="426">
        <v>42519</v>
      </c>
      <c r="B2145">
        <v>525.11</v>
      </c>
      <c r="C2145" t="s">
        <v>2552</v>
      </c>
    </row>
    <row r="2146" spans="1:3" x14ac:dyDescent="0.3">
      <c r="A2146" s="426">
        <v>42520</v>
      </c>
      <c r="B2146">
        <v>534.73</v>
      </c>
      <c r="C2146" t="s">
        <v>2553</v>
      </c>
    </row>
    <row r="2147" spans="1:3" x14ac:dyDescent="0.3">
      <c r="A2147" s="426">
        <v>42521</v>
      </c>
      <c r="B2147">
        <v>536.74</v>
      </c>
      <c r="C2147" t="s">
        <v>2554</v>
      </c>
    </row>
    <row r="2148" spans="1:3" x14ac:dyDescent="0.3">
      <c r="A2148" s="426">
        <v>42522</v>
      </c>
      <c r="B2148">
        <v>535.16999999999996</v>
      </c>
      <c r="C2148" t="s">
        <v>2555</v>
      </c>
    </row>
    <row r="2149" spans="1:3" x14ac:dyDescent="0.3">
      <c r="A2149" s="426">
        <v>42523</v>
      </c>
      <c r="B2149">
        <v>538.65</v>
      </c>
      <c r="C2149" t="s">
        <v>2556</v>
      </c>
    </row>
    <row r="2150" spans="1:3" x14ac:dyDescent="0.3">
      <c r="A2150" s="426">
        <v>42524</v>
      </c>
      <c r="B2150">
        <v>559.84</v>
      </c>
      <c r="C2150" t="s">
        <v>2557</v>
      </c>
    </row>
    <row r="2151" spans="1:3" x14ac:dyDescent="0.3">
      <c r="A2151" s="426">
        <v>42525</v>
      </c>
      <c r="B2151">
        <v>574.97</v>
      </c>
      <c r="C2151" t="s">
        <v>2558</v>
      </c>
    </row>
    <row r="2152" spans="1:3" x14ac:dyDescent="0.3">
      <c r="A2152" s="426">
        <v>42526</v>
      </c>
      <c r="B2152">
        <v>577.28</v>
      </c>
      <c r="C2152" t="s">
        <v>2559</v>
      </c>
    </row>
    <row r="2153" spans="1:3" x14ac:dyDescent="0.3">
      <c r="A2153" s="426">
        <v>42527</v>
      </c>
      <c r="B2153">
        <v>583.97</v>
      </c>
      <c r="C2153" t="s">
        <v>2560</v>
      </c>
    </row>
    <row r="2154" spans="1:3" x14ac:dyDescent="0.3">
      <c r="A2154" s="426">
        <v>42528</v>
      </c>
      <c r="B2154">
        <v>584.69000000000005</v>
      </c>
      <c r="C2154" t="s">
        <v>2561</v>
      </c>
    </row>
    <row r="2155" spans="1:3" x14ac:dyDescent="0.3">
      <c r="A2155" s="426">
        <v>42529</v>
      </c>
      <c r="B2155">
        <v>580.91999999999996</v>
      </c>
      <c r="C2155" t="s">
        <v>2562</v>
      </c>
    </row>
    <row r="2156" spans="1:3" x14ac:dyDescent="0.3">
      <c r="A2156" s="426">
        <v>42530</v>
      </c>
      <c r="B2156">
        <v>580.70000000000005</v>
      </c>
      <c r="C2156" t="s">
        <v>2563</v>
      </c>
    </row>
    <row r="2157" spans="1:3" x14ac:dyDescent="0.3">
      <c r="A2157" s="426">
        <v>42531</v>
      </c>
      <c r="B2157">
        <v>579.65</v>
      </c>
      <c r="C2157" t="s">
        <v>2564</v>
      </c>
    </row>
    <row r="2158" spans="1:3" x14ac:dyDescent="0.3">
      <c r="A2158" s="426">
        <v>42532</v>
      </c>
      <c r="B2158">
        <v>586.87</v>
      </c>
      <c r="C2158" t="s">
        <v>2565</v>
      </c>
    </row>
    <row r="2159" spans="1:3" x14ac:dyDescent="0.3">
      <c r="A2159" s="426">
        <v>42533</v>
      </c>
      <c r="B2159">
        <v>640.61</v>
      </c>
      <c r="C2159" t="s">
        <v>2566</v>
      </c>
    </row>
    <row r="2160" spans="1:3" x14ac:dyDescent="0.3">
      <c r="A2160" s="426">
        <v>42534</v>
      </c>
      <c r="B2160">
        <v>689.14</v>
      </c>
      <c r="C2160" t="s">
        <v>2567</v>
      </c>
    </row>
    <row r="2161" spans="1:3" x14ac:dyDescent="0.3">
      <c r="A2161" s="426">
        <v>42535</v>
      </c>
      <c r="B2161">
        <v>688.37</v>
      </c>
      <c r="C2161" t="s">
        <v>2568</v>
      </c>
    </row>
    <row r="2162" spans="1:3" x14ac:dyDescent="0.3">
      <c r="A2162" s="426">
        <v>42536</v>
      </c>
      <c r="B2162">
        <v>686.89</v>
      </c>
      <c r="C2162" t="s">
        <v>2569</v>
      </c>
    </row>
    <row r="2163" spans="1:3" x14ac:dyDescent="0.3">
      <c r="A2163" s="426">
        <v>42537</v>
      </c>
      <c r="B2163">
        <v>740.71</v>
      </c>
      <c r="C2163" t="s">
        <v>2570</v>
      </c>
    </row>
    <row r="2164" spans="1:3" x14ac:dyDescent="0.3">
      <c r="A2164" s="426">
        <v>42538</v>
      </c>
      <c r="B2164">
        <v>750.61</v>
      </c>
      <c r="C2164" t="s">
        <v>2571</v>
      </c>
    </row>
    <row r="2165" spans="1:3" x14ac:dyDescent="0.3">
      <c r="A2165" s="426">
        <v>42539</v>
      </c>
      <c r="B2165">
        <v>753.29</v>
      </c>
      <c r="C2165" t="s">
        <v>2572</v>
      </c>
    </row>
    <row r="2166" spans="1:3" x14ac:dyDescent="0.3">
      <c r="A2166" s="426">
        <v>42540</v>
      </c>
      <c r="B2166">
        <v>758.31</v>
      </c>
      <c r="C2166" t="s">
        <v>2573</v>
      </c>
    </row>
    <row r="2167" spans="1:3" x14ac:dyDescent="0.3">
      <c r="A2167" s="426">
        <v>42541</v>
      </c>
      <c r="B2167">
        <v>752.92</v>
      </c>
      <c r="C2167" t="s">
        <v>2574</v>
      </c>
    </row>
    <row r="2168" spans="1:3" x14ac:dyDescent="0.3">
      <c r="A2168" s="426">
        <v>42542</v>
      </c>
      <c r="B2168">
        <v>684.91</v>
      </c>
      <c r="C2168" t="s">
        <v>2575</v>
      </c>
    </row>
    <row r="2169" spans="1:3" x14ac:dyDescent="0.3">
      <c r="A2169" s="426">
        <v>42543</v>
      </c>
      <c r="B2169">
        <v>654.12</v>
      </c>
      <c r="C2169" t="s">
        <v>2576</v>
      </c>
    </row>
    <row r="2170" spans="1:3" x14ac:dyDescent="0.3">
      <c r="A2170" s="426">
        <v>42544</v>
      </c>
      <c r="B2170">
        <v>594.64</v>
      </c>
      <c r="C2170" t="s">
        <v>2577</v>
      </c>
    </row>
    <row r="2171" spans="1:3" x14ac:dyDescent="0.3">
      <c r="A2171" s="426">
        <v>42545</v>
      </c>
      <c r="B2171">
        <v>657.79</v>
      </c>
      <c r="C2171" t="s">
        <v>2578</v>
      </c>
    </row>
    <row r="2172" spans="1:3" x14ac:dyDescent="0.3">
      <c r="A2172" s="426">
        <v>42546</v>
      </c>
      <c r="B2172">
        <v>674.72</v>
      </c>
      <c r="C2172" t="s">
        <v>2579</v>
      </c>
    </row>
    <row r="2173" spans="1:3" x14ac:dyDescent="0.3">
      <c r="A2173" s="426">
        <v>42547</v>
      </c>
      <c r="B2173">
        <v>644.29</v>
      </c>
      <c r="C2173" t="s">
        <v>2580</v>
      </c>
    </row>
    <row r="2174" spans="1:3" x14ac:dyDescent="0.3">
      <c r="A2174" s="426">
        <v>42548</v>
      </c>
      <c r="B2174">
        <v>641.66999999999996</v>
      </c>
      <c r="C2174" t="s">
        <v>2581</v>
      </c>
    </row>
    <row r="2175" spans="1:3" x14ac:dyDescent="0.3">
      <c r="A2175" s="426">
        <v>42549</v>
      </c>
      <c r="B2175">
        <v>648.54</v>
      </c>
      <c r="C2175" t="s">
        <v>2582</v>
      </c>
    </row>
    <row r="2176" spans="1:3" x14ac:dyDescent="0.3">
      <c r="A2176" s="426">
        <v>42550</v>
      </c>
      <c r="B2176">
        <v>638.03</v>
      </c>
      <c r="C2176" t="s">
        <v>2583</v>
      </c>
    </row>
    <row r="2177" spans="1:3" x14ac:dyDescent="0.3">
      <c r="A2177" s="426">
        <v>42551</v>
      </c>
      <c r="B2177">
        <v>656.19</v>
      </c>
      <c r="C2177" t="s">
        <v>2584</v>
      </c>
    </row>
    <row r="2178" spans="1:3" x14ac:dyDescent="0.3">
      <c r="A2178" s="426">
        <v>42552</v>
      </c>
      <c r="B2178">
        <v>679.3</v>
      </c>
      <c r="C2178" t="s">
        <v>2585</v>
      </c>
    </row>
    <row r="2179" spans="1:3" x14ac:dyDescent="0.3">
      <c r="A2179" s="426">
        <v>42553</v>
      </c>
      <c r="B2179">
        <v>690.88</v>
      </c>
      <c r="C2179" t="s">
        <v>2586</v>
      </c>
    </row>
    <row r="2180" spans="1:3" x14ac:dyDescent="0.3">
      <c r="A2180" s="426">
        <v>42554</v>
      </c>
      <c r="B2180">
        <v>678.42</v>
      </c>
      <c r="C2180" t="s">
        <v>2587</v>
      </c>
    </row>
    <row r="2181" spans="1:3" x14ac:dyDescent="0.3">
      <c r="A2181" s="426">
        <v>42555</v>
      </c>
      <c r="B2181">
        <v>673.78</v>
      </c>
      <c r="C2181" t="s">
        <v>2588</v>
      </c>
    </row>
    <row r="2182" spans="1:3" x14ac:dyDescent="0.3">
      <c r="A2182" s="426">
        <v>42556</v>
      </c>
      <c r="B2182">
        <v>675.33</v>
      </c>
      <c r="C2182" t="s">
        <v>2589</v>
      </c>
    </row>
    <row r="2183" spans="1:3" x14ac:dyDescent="0.3">
      <c r="A2183" s="426">
        <v>42557</v>
      </c>
      <c r="B2183">
        <v>676.19</v>
      </c>
      <c r="C2183" t="s">
        <v>2590</v>
      </c>
    </row>
    <row r="2184" spans="1:3" x14ac:dyDescent="0.3">
      <c r="A2184" s="426">
        <v>42558</v>
      </c>
      <c r="B2184">
        <v>645.29999999999995</v>
      </c>
      <c r="C2184" t="s">
        <v>2591</v>
      </c>
    </row>
    <row r="2185" spans="1:3" x14ac:dyDescent="0.3">
      <c r="A2185" s="426">
        <v>42559</v>
      </c>
      <c r="B2185">
        <v>648.80999999999995</v>
      </c>
      <c r="C2185" t="s">
        <v>2592</v>
      </c>
    </row>
    <row r="2186" spans="1:3" x14ac:dyDescent="0.3">
      <c r="A2186" s="426">
        <v>42560</v>
      </c>
      <c r="B2186">
        <v>653.28</v>
      </c>
      <c r="C2186" t="s">
        <v>2593</v>
      </c>
    </row>
    <row r="2187" spans="1:3" x14ac:dyDescent="0.3">
      <c r="A2187" s="426">
        <v>42561</v>
      </c>
      <c r="B2187">
        <v>647.76</v>
      </c>
      <c r="C2187" t="s">
        <v>2594</v>
      </c>
    </row>
    <row r="2188" spans="1:3" x14ac:dyDescent="0.3">
      <c r="A2188" s="426">
        <v>42562</v>
      </c>
      <c r="B2188">
        <v>650.87</v>
      </c>
      <c r="C2188" t="s">
        <v>2595</v>
      </c>
    </row>
    <row r="2189" spans="1:3" x14ac:dyDescent="0.3">
      <c r="A2189" s="426">
        <v>42563</v>
      </c>
      <c r="B2189">
        <v>658.27</v>
      </c>
      <c r="C2189" t="s">
        <v>2596</v>
      </c>
    </row>
    <row r="2190" spans="1:3" x14ac:dyDescent="0.3">
      <c r="A2190" s="426">
        <v>42564</v>
      </c>
      <c r="B2190">
        <v>664.31</v>
      </c>
      <c r="C2190" t="s">
        <v>2597</v>
      </c>
    </row>
    <row r="2191" spans="1:3" x14ac:dyDescent="0.3">
      <c r="A2191" s="426">
        <v>42565</v>
      </c>
      <c r="B2191">
        <v>658.93</v>
      </c>
      <c r="C2191" t="s">
        <v>2598</v>
      </c>
    </row>
    <row r="2192" spans="1:3" x14ac:dyDescent="0.3">
      <c r="A2192" s="426">
        <v>42566</v>
      </c>
      <c r="B2192">
        <v>664.47</v>
      </c>
      <c r="C2192" t="s">
        <v>2599</v>
      </c>
    </row>
    <row r="2193" spans="1:3" x14ac:dyDescent="0.3">
      <c r="A2193" s="426">
        <v>42567</v>
      </c>
      <c r="B2193">
        <v>665.45</v>
      </c>
      <c r="C2193" t="s">
        <v>2600</v>
      </c>
    </row>
    <row r="2194" spans="1:3" x14ac:dyDescent="0.3">
      <c r="A2194" s="426">
        <v>42568</v>
      </c>
      <c r="B2194">
        <v>671.99</v>
      </c>
      <c r="C2194" t="s">
        <v>2601</v>
      </c>
    </row>
    <row r="2195" spans="1:3" x14ac:dyDescent="0.3">
      <c r="A2195" s="426">
        <v>42569</v>
      </c>
      <c r="B2195">
        <v>679.2</v>
      </c>
      <c r="C2195" t="s">
        <v>2602</v>
      </c>
    </row>
    <row r="2196" spans="1:3" x14ac:dyDescent="0.3">
      <c r="A2196" s="426">
        <v>42570</v>
      </c>
      <c r="B2196">
        <v>672.64</v>
      </c>
      <c r="C2196" t="s">
        <v>2603</v>
      </c>
    </row>
    <row r="2197" spans="1:3" x14ac:dyDescent="0.3">
      <c r="A2197" s="426">
        <v>42571</v>
      </c>
      <c r="B2197">
        <v>670.32</v>
      </c>
      <c r="C2197" t="s">
        <v>2604</v>
      </c>
    </row>
    <row r="2198" spans="1:3" x14ac:dyDescent="0.3">
      <c r="A2198" s="426">
        <v>42572</v>
      </c>
      <c r="B2198">
        <v>664.84</v>
      </c>
      <c r="C2198" t="s">
        <v>2605</v>
      </c>
    </row>
    <row r="2199" spans="1:3" x14ac:dyDescent="0.3">
      <c r="A2199" s="426">
        <v>42573</v>
      </c>
      <c r="B2199">
        <v>660.86</v>
      </c>
      <c r="C2199" t="s">
        <v>2606</v>
      </c>
    </row>
    <row r="2200" spans="1:3" x14ac:dyDescent="0.3">
      <c r="A2200" s="426">
        <v>42574</v>
      </c>
      <c r="B2200">
        <v>654.21</v>
      </c>
      <c r="C2200" t="s">
        <v>2607</v>
      </c>
    </row>
    <row r="2201" spans="1:3" x14ac:dyDescent="0.3">
      <c r="A2201" s="426">
        <v>42575</v>
      </c>
      <c r="B2201">
        <v>657.79</v>
      </c>
      <c r="C2201" t="s">
        <v>2608</v>
      </c>
    </row>
    <row r="2202" spans="1:3" x14ac:dyDescent="0.3">
      <c r="A2202" s="426">
        <v>42576</v>
      </c>
      <c r="B2202">
        <v>657.32</v>
      </c>
      <c r="C2202" t="s">
        <v>2609</v>
      </c>
    </row>
    <row r="2203" spans="1:3" x14ac:dyDescent="0.3">
      <c r="A2203" s="426">
        <v>42577</v>
      </c>
      <c r="B2203">
        <v>653.04999999999995</v>
      </c>
      <c r="C2203" t="s">
        <v>2610</v>
      </c>
    </row>
    <row r="2204" spans="1:3" x14ac:dyDescent="0.3">
      <c r="A2204" s="426">
        <v>42578</v>
      </c>
      <c r="B2204">
        <v>653.62</v>
      </c>
      <c r="C2204" t="s">
        <v>2611</v>
      </c>
    </row>
    <row r="2205" spans="1:3" x14ac:dyDescent="0.3">
      <c r="A2205" s="426">
        <v>42579</v>
      </c>
      <c r="B2205">
        <v>656.24</v>
      </c>
      <c r="C2205" t="s">
        <v>2612</v>
      </c>
    </row>
    <row r="2206" spans="1:3" x14ac:dyDescent="0.3">
      <c r="A2206" s="426">
        <v>42580</v>
      </c>
      <c r="B2206">
        <v>658</v>
      </c>
      <c r="C2206" t="s">
        <v>2613</v>
      </c>
    </row>
    <row r="2207" spans="1:3" x14ac:dyDescent="0.3">
      <c r="A2207" s="426">
        <v>42581</v>
      </c>
      <c r="B2207">
        <v>657.89</v>
      </c>
      <c r="C2207" t="s">
        <v>2614</v>
      </c>
    </row>
    <row r="2208" spans="1:3" x14ac:dyDescent="0.3">
      <c r="A2208" s="426">
        <v>42582</v>
      </c>
      <c r="B2208">
        <v>637.11</v>
      </c>
      <c r="C2208" t="s">
        <v>2615</v>
      </c>
    </row>
    <row r="2209" spans="1:3" x14ac:dyDescent="0.3">
      <c r="A2209" s="426">
        <v>42583</v>
      </c>
      <c r="B2209">
        <v>621.89</v>
      </c>
      <c r="C2209" t="s">
        <v>2616</v>
      </c>
    </row>
    <row r="2210" spans="1:3" x14ac:dyDescent="0.3">
      <c r="A2210" s="426">
        <v>42584</v>
      </c>
      <c r="B2210">
        <v>593.70000000000005</v>
      </c>
      <c r="C2210" t="s">
        <v>2617</v>
      </c>
    </row>
    <row r="2211" spans="1:3" x14ac:dyDescent="0.3">
      <c r="A2211" s="426">
        <v>42585</v>
      </c>
      <c r="B2211">
        <v>552.13</v>
      </c>
      <c r="C2211" t="s">
        <v>2618</v>
      </c>
    </row>
    <row r="2212" spans="1:3" x14ac:dyDescent="0.3">
      <c r="A2212" s="426">
        <v>42586</v>
      </c>
      <c r="B2212">
        <v>576.47</v>
      </c>
      <c r="C2212" t="s">
        <v>2619</v>
      </c>
    </row>
    <row r="2213" spans="1:3" x14ac:dyDescent="0.3">
      <c r="A2213" s="426">
        <v>42587</v>
      </c>
      <c r="B2213">
        <v>576.39</v>
      </c>
      <c r="C2213" t="s">
        <v>2620</v>
      </c>
    </row>
    <row r="2214" spans="1:3" x14ac:dyDescent="0.3">
      <c r="A2214" s="426">
        <v>42588</v>
      </c>
      <c r="B2214">
        <v>578.53</v>
      </c>
      <c r="C2214" t="s">
        <v>2621</v>
      </c>
    </row>
    <row r="2215" spans="1:3" x14ac:dyDescent="0.3">
      <c r="A2215" s="426">
        <v>42589</v>
      </c>
      <c r="B2215">
        <v>594.25</v>
      </c>
      <c r="C2215" t="s">
        <v>2622</v>
      </c>
    </row>
    <row r="2216" spans="1:3" x14ac:dyDescent="0.3">
      <c r="A2216" s="426">
        <v>42590</v>
      </c>
      <c r="B2216">
        <v>595.04999999999995</v>
      </c>
      <c r="C2216" t="s">
        <v>2623</v>
      </c>
    </row>
    <row r="2217" spans="1:3" x14ac:dyDescent="0.3">
      <c r="A2217" s="426">
        <v>42591</v>
      </c>
      <c r="B2217">
        <v>593.12</v>
      </c>
      <c r="C2217" t="s">
        <v>2624</v>
      </c>
    </row>
    <row r="2218" spans="1:3" x14ac:dyDescent="0.3">
      <c r="A2218" s="426">
        <v>42592</v>
      </c>
      <c r="B2218">
        <v>596.37</v>
      </c>
      <c r="C2218" t="s">
        <v>2625</v>
      </c>
    </row>
    <row r="2219" spans="1:3" x14ac:dyDescent="0.3">
      <c r="A2219" s="426">
        <v>42593</v>
      </c>
      <c r="B2219">
        <v>595.39</v>
      </c>
      <c r="C2219" t="s">
        <v>2626</v>
      </c>
    </row>
    <row r="2220" spans="1:3" x14ac:dyDescent="0.3">
      <c r="A2220" s="426">
        <v>42594</v>
      </c>
      <c r="B2220">
        <v>591.38</v>
      </c>
      <c r="C2220" t="s">
        <v>2627</v>
      </c>
    </row>
    <row r="2221" spans="1:3" x14ac:dyDescent="0.3">
      <c r="A2221" s="426">
        <v>42595</v>
      </c>
      <c r="B2221">
        <v>591.34</v>
      </c>
      <c r="C2221" t="s">
        <v>2628</v>
      </c>
    </row>
    <row r="2222" spans="1:3" x14ac:dyDescent="0.3">
      <c r="A2222" s="426">
        <v>42596</v>
      </c>
      <c r="B2222">
        <v>581.71</v>
      </c>
      <c r="C2222" t="s">
        <v>2629</v>
      </c>
    </row>
    <row r="2223" spans="1:3" x14ac:dyDescent="0.3">
      <c r="A2223" s="426">
        <v>42597</v>
      </c>
      <c r="B2223">
        <v>573.51</v>
      </c>
      <c r="C2223" t="s">
        <v>2630</v>
      </c>
    </row>
    <row r="2224" spans="1:3" x14ac:dyDescent="0.3">
      <c r="A2224" s="426">
        <v>42598</v>
      </c>
      <c r="B2224">
        <v>574.89</v>
      </c>
      <c r="C2224" t="s">
        <v>2631</v>
      </c>
    </row>
    <row r="2225" spans="1:3" x14ac:dyDescent="0.3">
      <c r="A2225" s="426">
        <v>42599</v>
      </c>
      <c r="B2225">
        <v>578.01</v>
      </c>
      <c r="C2225" t="s">
        <v>2632</v>
      </c>
    </row>
    <row r="2226" spans="1:3" x14ac:dyDescent="0.3">
      <c r="A2226" s="426">
        <v>42600</v>
      </c>
      <c r="B2226">
        <v>577.54</v>
      </c>
      <c r="C2226" t="s">
        <v>2633</v>
      </c>
    </row>
    <row r="2227" spans="1:3" x14ac:dyDescent="0.3">
      <c r="A2227" s="426">
        <v>42601</v>
      </c>
      <c r="B2227">
        <v>578.1</v>
      </c>
      <c r="C2227" t="s">
        <v>2634</v>
      </c>
    </row>
    <row r="2228" spans="1:3" x14ac:dyDescent="0.3">
      <c r="A2228" s="426">
        <v>42602</v>
      </c>
      <c r="B2228">
        <v>580.42999999999995</v>
      </c>
      <c r="C2228" t="s">
        <v>2635</v>
      </c>
    </row>
    <row r="2229" spans="1:3" x14ac:dyDescent="0.3">
      <c r="A2229" s="426">
        <v>42603</v>
      </c>
      <c r="B2229">
        <v>583.19000000000005</v>
      </c>
      <c r="C2229" t="s">
        <v>2636</v>
      </c>
    </row>
    <row r="2230" spans="1:3" x14ac:dyDescent="0.3">
      <c r="A2230" s="426">
        <v>42604</v>
      </c>
      <c r="B2230">
        <v>585.42999999999995</v>
      </c>
      <c r="C2230" t="s">
        <v>2637</v>
      </c>
    </row>
    <row r="2231" spans="1:3" x14ac:dyDescent="0.3">
      <c r="A2231" s="426">
        <v>42605</v>
      </c>
      <c r="B2231">
        <v>586.79</v>
      </c>
      <c r="C2231" t="s">
        <v>2638</v>
      </c>
    </row>
    <row r="2232" spans="1:3" x14ac:dyDescent="0.3">
      <c r="A2232" s="426">
        <v>42606</v>
      </c>
      <c r="B2232">
        <v>582.34</v>
      </c>
      <c r="C2232" t="s">
        <v>2639</v>
      </c>
    </row>
    <row r="2233" spans="1:3" x14ac:dyDescent="0.3">
      <c r="A2233" s="426">
        <v>42607</v>
      </c>
      <c r="B2233">
        <v>577.03</v>
      </c>
      <c r="C2233" t="s">
        <v>2640</v>
      </c>
    </row>
    <row r="2234" spans="1:3" x14ac:dyDescent="0.3">
      <c r="A2234" s="426">
        <v>42608</v>
      </c>
      <c r="B2234">
        <v>579.11</v>
      </c>
      <c r="C2234" t="s">
        <v>2641</v>
      </c>
    </row>
    <row r="2235" spans="1:3" x14ac:dyDescent="0.3">
      <c r="A2235" s="426">
        <v>42609</v>
      </c>
      <c r="B2235">
        <v>574.66</v>
      </c>
      <c r="C2235" t="s">
        <v>2642</v>
      </c>
    </row>
    <row r="2236" spans="1:3" x14ac:dyDescent="0.3">
      <c r="A2236" s="426">
        <v>42610</v>
      </c>
      <c r="B2236">
        <v>572.52</v>
      </c>
      <c r="C2236" t="s">
        <v>2643</v>
      </c>
    </row>
    <row r="2237" spans="1:3" x14ac:dyDescent="0.3">
      <c r="A2237" s="426">
        <v>42611</v>
      </c>
      <c r="B2237">
        <v>574.32000000000005</v>
      </c>
      <c r="C2237" t="s">
        <v>2644</v>
      </c>
    </row>
    <row r="2238" spans="1:3" x14ac:dyDescent="0.3">
      <c r="A2238" s="426">
        <v>42612</v>
      </c>
      <c r="B2238">
        <v>576.9</v>
      </c>
      <c r="C2238" t="s">
        <v>2645</v>
      </c>
    </row>
    <row r="2239" spans="1:3" x14ac:dyDescent="0.3">
      <c r="A2239" s="426">
        <v>42613</v>
      </c>
      <c r="B2239">
        <v>575.59</v>
      </c>
      <c r="C2239" t="s">
        <v>2646</v>
      </c>
    </row>
    <row r="2240" spans="1:3" x14ac:dyDescent="0.3">
      <c r="A2240" s="426">
        <v>42614</v>
      </c>
      <c r="B2240">
        <v>574.01</v>
      </c>
      <c r="C2240" t="s">
        <v>2647</v>
      </c>
    </row>
    <row r="2241" spans="1:3" x14ac:dyDescent="0.3">
      <c r="A2241" s="426">
        <v>42615</v>
      </c>
      <c r="B2241">
        <v>573.74</v>
      </c>
      <c r="C2241" t="s">
        <v>2648</v>
      </c>
    </row>
    <row r="2242" spans="1:3" x14ac:dyDescent="0.3">
      <c r="A2242" s="426">
        <v>42616</v>
      </c>
      <c r="B2242">
        <v>579.59</v>
      </c>
      <c r="C2242" t="s">
        <v>2649</v>
      </c>
    </row>
    <row r="2243" spans="1:3" x14ac:dyDescent="0.3">
      <c r="A2243" s="426">
        <v>42617</v>
      </c>
      <c r="B2243">
        <v>603.1</v>
      </c>
      <c r="C2243" t="s">
        <v>2650</v>
      </c>
    </row>
    <row r="2244" spans="1:3" x14ac:dyDescent="0.3">
      <c r="A2244" s="426">
        <v>42618</v>
      </c>
      <c r="B2244">
        <v>606.24</v>
      </c>
      <c r="C2244" t="s">
        <v>2651</v>
      </c>
    </row>
    <row r="2245" spans="1:3" x14ac:dyDescent="0.3">
      <c r="A2245" s="426">
        <v>42619</v>
      </c>
      <c r="B2245">
        <v>609.13</v>
      </c>
      <c r="C2245" t="s">
        <v>2652</v>
      </c>
    </row>
    <row r="2246" spans="1:3" x14ac:dyDescent="0.3">
      <c r="A2246" s="426">
        <v>42620</v>
      </c>
      <c r="B2246">
        <v>613.11</v>
      </c>
      <c r="C2246" t="s">
        <v>2653</v>
      </c>
    </row>
    <row r="2247" spans="1:3" x14ac:dyDescent="0.3">
      <c r="A2247" s="426">
        <v>42621</v>
      </c>
      <c r="B2247">
        <v>623.16999999999996</v>
      </c>
      <c r="C2247" t="s">
        <v>2654</v>
      </c>
    </row>
    <row r="2248" spans="1:3" x14ac:dyDescent="0.3">
      <c r="A2248" s="426">
        <v>42622</v>
      </c>
      <c r="B2248">
        <v>624.54</v>
      </c>
      <c r="C2248" t="s">
        <v>2655</v>
      </c>
    </row>
    <row r="2249" spans="1:3" x14ac:dyDescent="0.3">
      <c r="A2249" s="426">
        <v>42623</v>
      </c>
      <c r="B2249">
        <v>625.21</v>
      </c>
      <c r="C2249" t="s">
        <v>2656</v>
      </c>
    </row>
    <row r="2250" spans="1:3" x14ac:dyDescent="0.3">
      <c r="A2250" s="426">
        <v>42624</v>
      </c>
      <c r="B2250">
        <v>622.25</v>
      </c>
      <c r="C2250" t="s">
        <v>2657</v>
      </c>
    </row>
    <row r="2251" spans="1:3" x14ac:dyDescent="0.3">
      <c r="A2251" s="426">
        <v>42625</v>
      </c>
      <c r="B2251">
        <v>608.49</v>
      </c>
      <c r="C2251" t="s">
        <v>2658</v>
      </c>
    </row>
    <row r="2252" spans="1:3" x14ac:dyDescent="0.3">
      <c r="A2252" s="426">
        <v>42626</v>
      </c>
      <c r="B2252">
        <v>610.01</v>
      </c>
      <c r="C2252" t="s">
        <v>2659</v>
      </c>
    </row>
    <row r="2253" spans="1:3" x14ac:dyDescent="0.3">
      <c r="A2253" s="426">
        <v>42627</v>
      </c>
      <c r="B2253">
        <v>611.66</v>
      </c>
      <c r="C2253" t="s">
        <v>2660</v>
      </c>
    </row>
    <row r="2254" spans="1:3" x14ac:dyDescent="0.3">
      <c r="A2254" s="426">
        <v>42628</v>
      </c>
      <c r="B2254">
        <v>611.20000000000005</v>
      </c>
      <c r="C2254" t="s">
        <v>2661</v>
      </c>
    </row>
    <row r="2255" spans="1:3" x14ac:dyDescent="0.3">
      <c r="A2255" s="426">
        <v>42629</v>
      </c>
      <c r="B2255">
        <v>609.89</v>
      </c>
      <c r="C2255" t="s">
        <v>2662</v>
      </c>
    </row>
    <row r="2256" spans="1:3" x14ac:dyDescent="0.3">
      <c r="A2256" s="426">
        <v>42630</v>
      </c>
      <c r="B2256">
        <v>609.32000000000005</v>
      </c>
      <c r="C2256" t="s">
        <v>2663</v>
      </c>
    </row>
    <row r="2257" spans="1:3" x14ac:dyDescent="0.3">
      <c r="A2257" s="426">
        <v>42631</v>
      </c>
      <c r="B2257">
        <v>610.13</v>
      </c>
      <c r="C2257" t="s">
        <v>2664</v>
      </c>
    </row>
    <row r="2258" spans="1:3" x14ac:dyDescent="0.3">
      <c r="A2258" s="426">
        <v>42632</v>
      </c>
      <c r="B2258">
        <v>611.17999999999995</v>
      </c>
      <c r="C2258" t="s">
        <v>2665</v>
      </c>
    </row>
    <row r="2259" spans="1:3" x14ac:dyDescent="0.3">
      <c r="A2259" s="426">
        <v>42633</v>
      </c>
      <c r="B2259">
        <v>610.17999999999995</v>
      </c>
      <c r="C2259" t="s">
        <v>2666</v>
      </c>
    </row>
    <row r="2260" spans="1:3" x14ac:dyDescent="0.3">
      <c r="A2260" s="426">
        <v>42634</v>
      </c>
      <c r="B2260">
        <v>598.94000000000005</v>
      </c>
      <c r="C2260" t="s">
        <v>2667</v>
      </c>
    </row>
    <row r="2261" spans="1:3" x14ac:dyDescent="0.3">
      <c r="A2261" s="426">
        <v>42635</v>
      </c>
      <c r="B2261">
        <v>598.70000000000005</v>
      </c>
      <c r="C2261" t="s">
        <v>2668</v>
      </c>
    </row>
    <row r="2262" spans="1:3" x14ac:dyDescent="0.3">
      <c r="A2262" s="426">
        <v>42636</v>
      </c>
      <c r="B2262">
        <v>601.04999999999995</v>
      </c>
      <c r="C2262" t="s">
        <v>2669</v>
      </c>
    </row>
    <row r="2263" spans="1:3" x14ac:dyDescent="0.3">
      <c r="A2263" s="426">
        <v>42637</v>
      </c>
      <c r="B2263">
        <v>605.22</v>
      </c>
      <c r="C2263" t="s">
        <v>2670</v>
      </c>
    </row>
    <row r="2264" spans="1:3" x14ac:dyDescent="0.3">
      <c r="A2264" s="426">
        <v>42638</v>
      </c>
      <c r="B2264">
        <v>603.65</v>
      </c>
      <c r="C2264" t="s">
        <v>2671</v>
      </c>
    </row>
    <row r="2265" spans="1:3" x14ac:dyDescent="0.3">
      <c r="A2265" s="426">
        <v>42639</v>
      </c>
      <c r="B2265">
        <v>606.08000000000004</v>
      </c>
      <c r="C2265" t="s">
        <v>2672</v>
      </c>
    </row>
    <row r="2266" spans="1:3" x14ac:dyDescent="0.3">
      <c r="A2266" s="426">
        <v>42640</v>
      </c>
      <c r="B2266">
        <v>608.20000000000005</v>
      </c>
      <c r="C2266" t="s">
        <v>2673</v>
      </c>
    </row>
    <row r="2267" spans="1:3" x14ac:dyDescent="0.3">
      <c r="A2267" s="426">
        <v>42641</v>
      </c>
      <c r="B2267">
        <v>607.34</v>
      </c>
      <c r="C2267" t="s">
        <v>2674</v>
      </c>
    </row>
    <row r="2268" spans="1:3" x14ac:dyDescent="0.3">
      <c r="A2268" s="426">
        <v>42642</v>
      </c>
      <c r="B2268">
        <v>607.17999999999995</v>
      </c>
      <c r="C2268" t="s">
        <v>2675</v>
      </c>
    </row>
    <row r="2269" spans="1:3" x14ac:dyDescent="0.3">
      <c r="A2269" s="426">
        <v>42643</v>
      </c>
      <c r="B2269">
        <v>607.30999999999995</v>
      </c>
      <c r="C2269" t="s">
        <v>2676</v>
      </c>
    </row>
    <row r="2270" spans="1:3" x14ac:dyDescent="0.3">
      <c r="A2270" s="426">
        <v>42644</v>
      </c>
      <c r="B2270">
        <v>614.38</v>
      </c>
      <c r="C2270" t="s">
        <v>2677</v>
      </c>
    </row>
    <row r="2271" spans="1:3" x14ac:dyDescent="0.3">
      <c r="A2271" s="426">
        <v>42645</v>
      </c>
      <c r="B2271">
        <v>613.23</v>
      </c>
      <c r="C2271" t="s">
        <v>2678</v>
      </c>
    </row>
    <row r="2272" spans="1:3" x14ac:dyDescent="0.3">
      <c r="A2272" s="426">
        <v>42646</v>
      </c>
      <c r="B2272">
        <v>613.08000000000004</v>
      </c>
      <c r="C2272" t="s">
        <v>2679</v>
      </c>
    </row>
    <row r="2273" spans="1:3" x14ac:dyDescent="0.3">
      <c r="A2273" s="426">
        <v>42647</v>
      </c>
      <c r="B2273">
        <v>611.57000000000005</v>
      </c>
      <c r="C2273" t="s">
        <v>2680</v>
      </c>
    </row>
    <row r="2274" spans="1:3" x14ac:dyDescent="0.3">
      <c r="A2274" s="426">
        <v>42648</v>
      </c>
      <c r="B2274">
        <v>612.99</v>
      </c>
      <c r="C2274" t="s">
        <v>2681</v>
      </c>
    </row>
    <row r="2275" spans="1:3" x14ac:dyDescent="0.3">
      <c r="A2275" s="426">
        <v>42649</v>
      </c>
      <c r="B2275">
        <v>614.16999999999996</v>
      </c>
      <c r="C2275" t="s">
        <v>2682</v>
      </c>
    </row>
    <row r="2276" spans="1:3" x14ac:dyDescent="0.3">
      <c r="A2276" s="426">
        <v>42650</v>
      </c>
      <c r="B2276">
        <v>616.80999999999995</v>
      </c>
      <c r="C2276" t="s">
        <v>2683</v>
      </c>
    </row>
    <row r="2277" spans="1:3" x14ac:dyDescent="0.3">
      <c r="A2277" s="426">
        <v>42651</v>
      </c>
      <c r="B2277">
        <v>620.41</v>
      </c>
      <c r="C2277" t="s">
        <v>2684</v>
      </c>
    </row>
    <row r="2278" spans="1:3" x14ac:dyDescent="0.3">
      <c r="A2278" s="426">
        <v>42652</v>
      </c>
      <c r="B2278">
        <v>619.36</v>
      </c>
      <c r="C2278" t="s">
        <v>2685</v>
      </c>
    </row>
    <row r="2279" spans="1:3" x14ac:dyDescent="0.3">
      <c r="A2279" s="426">
        <v>42653</v>
      </c>
      <c r="B2279">
        <v>618.92999999999995</v>
      </c>
      <c r="C2279" t="s">
        <v>2686</v>
      </c>
    </row>
    <row r="2280" spans="1:3" x14ac:dyDescent="0.3">
      <c r="A2280" s="426">
        <v>42654</v>
      </c>
      <c r="B2280">
        <v>632.94000000000005</v>
      </c>
      <c r="C2280" t="s">
        <v>2687</v>
      </c>
    </row>
    <row r="2281" spans="1:3" x14ac:dyDescent="0.3">
      <c r="A2281" s="426">
        <v>42655</v>
      </c>
      <c r="B2281">
        <v>639.38</v>
      </c>
      <c r="C2281" t="s">
        <v>2688</v>
      </c>
    </row>
    <row r="2282" spans="1:3" x14ac:dyDescent="0.3">
      <c r="A2282" s="426">
        <v>42656</v>
      </c>
      <c r="B2282">
        <v>638.05999999999995</v>
      </c>
      <c r="C2282" t="s">
        <v>2689</v>
      </c>
    </row>
    <row r="2283" spans="1:3" x14ac:dyDescent="0.3">
      <c r="A2283" s="426">
        <v>42657</v>
      </c>
      <c r="B2283">
        <v>639.66999999999996</v>
      </c>
      <c r="C2283" t="s">
        <v>2690</v>
      </c>
    </row>
    <row r="2284" spans="1:3" x14ac:dyDescent="0.3">
      <c r="A2284" s="426">
        <v>42658</v>
      </c>
      <c r="B2284">
        <v>642.28</v>
      </c>
      <c r="C2284" t="s">
        <v>2691</v>
      </c>
    </row>
    <row r="2285" spans="1:3" x14ac:dyDescent="0.3">
      <c r="A2285" s="426">
        <v>42659</v>
      </c>
      <c r="B2285">
        <v>642.42999999999995</v>
      </c>
      <c r="C2285" t="s">
        <v>2692</v>
      </c>
    </row>
    <row r="2286" spans="1:3" x14ac:dyDescent="0.3">
      <c r="A2286" s="426">
        <v>42660</v>
      </c>
      <c r="B2286">
        <v>641.24</v>
      </c>
      <c r="C2286" t="s">
        <v>2693</v>
      </c>
    </row>
    <row r="2287" spans="1:3" x14ac:dyDescent="0.3">
      <c r="A2287" s="426">
        <v>42661</v>
      </c>
      <c r="B2287">
        <v>640.04999999999995</v>
      </c>
      <c r="C2287" t="s">
        <v>2694</v>
      </c>
    </row>
    <row r="2288" spans="1:3" x14ac:dyDescent="0.3">
      <c r="A2288" s="426">
        <v>42662</v>
      </c>
      <c r="B2288">
        <v>635.87</v>
      </c>
      <c r="C2288" t="s">
        <v>2695</v>
      </c>
    </row>
    <row r="2289" spans="1:3" x14ac:dyDescent="0.3">
      <c r="A2289" s="426">
        <v>42663</v>
      </c>
      <c r="B2289">
        <v>632.49</v>
      </c>
      <c r="C2289" t="s">
        <v>2696</v>
      </c>
    </row>
    <row r="2290" spans="1:3" x14ac:dyDescent="0.3">
      <c r="A2290" s="426">
        <v>42664</v>
      </c>
      <c r="B2290">
        <v>634.51</v>
      </c>
      <c r="C2290" t="s">
        <v>2697</v>
      </c>
    </row>
    <row r="2291" spans="1:3" x14ac:dyDescent="0.3">
      <c r="A2291" s="426">
        <v>42665</v>
      </c>
      <c r="B2291">
        <v>644</v>
      </c>
      <c r="C2291" t="s">
        <v>2698</v>
      </c>
    </row>
    <row r="2292" spans="1:3" x14ac:dyDescent="0.3">
      <c r="A2292" s="426">
        <v>42666</v>
      </c>
      <c r="B2292">
        <v>655.68</v>
      </c>
      <c r="C2292" t="s">
        <v>2699</v>
      </c>
    </row>
    <row r="2293" spans="1:3" x14ac:dyDescent="0.3">
      <c r="A2293" s="426">
        <v>42667</v>
      </c>
      <c r="B2293">
        <v>654.83000000000004</v>
      </c>
      <c r="C2293" t="s">
        <v>2700</v>
      </c>
    </row>
    <row r="2294" spans="1:3" x14ac:dyDescent="0.3">
      <c r="A2294" s="426">
        <v>42668</v>
      </c>
      <c r="B2294">
        <v>657.9</v>
      </c>
      <c r="C2294" t="s">
        <v>2701</v>
      </c>
    </row>
    <row r="2295" spans="1:3" x14ac:dyDescent="0.3">
      <c r="A2295" s="426">
        <v>42669</v>
      </c>
      <c r="B2295">
        <v>666.84</v>
      </c>
      <c r="C2295" t="s">
        <v>2702</v>
      </c>
    </row>
    <row r="2296" spans="1:3" x14ac:dyDescent="0.3">
      <c r="A2296" s="426">
        <v>42670</v>
      </c>
      <c r="B2296">
        <v>684.43</v>
      </c>
      <c r="C2296" t="s">
        <v>2703</v>
      </c>
    </row>
    <row r="2297" spans="1:3" x14ac:dyDescent="0.3">
      <c r="A2297" s="426">
        <v>42671</v>
      </c>
      <c r="B2297">
        <v>689.29</v>
      </c>
      <c r="C2297" t="s">
        <v>2704</v>
      </c>
    </row>
    <row r="2298" spans="1:3" x14ac:dyDescent="0.3">
      <c r="A2298" s="426">
        <v>42672</v>
      </c>
      <c r="B2298">
        <v>709.14</v>
      </c>
      <c r="C2298" t="s">
        <v>2705</v>
      </c>
    </row>
    <row r="2299" spans="1:3" x14ac:dyDescent="0.3">
      <c r="A2299" s="426">
        <v>42673</v>
      </c>
      <c r="B2299">
        <v>707.89</v>
      </c>
      <c r="C2299" t="s">
        <v>2706</v>
      </c>
    </row>
    <row r="2300" spans="1:3" x14ac:dyDescent="0.3">
      <c r="A2300" s="426">
        <v>42674</v>
      </c>
      <c r="B2300">
        <v>703.38</v>
      </c>
      <c r="C2300" t="s">
        <v>2707</v>
      </c>
    </row>
    <row r="2301" spans="1:3" x14ac:dyDescent="0.3">
      <c r="A2301" s="426">
        <v>42675</v>
      </c>
      <c r="B2301">
        <v>724.22</v>
      </c>
      <c r="C2301" t="s">
        <v>2708</v>
      </c>
    </row>
    <row r="2302" spans="1:3" x14ac:dyDescent="0.3">
      <c r="A2302" s="426">
        <v>42676</v>
      </c>
      <c r="B2302">
        <v>729.38</v>
      </c>
      <c r="C2302" t="s">
        <v>2709</v>
      </c>
    </row>
    <row r="2303" spans="1:3" x14ac:dyDescent="0.3">
      <c r="A2303" s="426">
        <v>42677</v>
      </c>
      <c r="B2303">
        <v>728.18</v>
      </c>
      <c r="C2303" t="s">
        <v>2710</v>
      </c>
    </row>
    <row r="2304" spans="1:3" x14ac:dyDescent="0.3">
      <c r="A2304" s="426">
        <v>42678</v>
      </c>
      <c r="B2304">
        <v>702.96</v>
      </c>
      <c r="C2304" t="s">
        <v>2711</v>
      </c>
    </row>
    <row r="2305" spans="1:3" x14ac:dyDescent="0.3">
      <c r="A2305" s="426">
        <v>42679</v>
      </c>
      <c r="B2305">
        <v>706.37</v>
      </c>
      <c r="C2305" t="s">
        <v>2712</v>
      </c>
    </row>
    <row r="2306" spans="1:3" x14ac:dyDescent="0.3">
      <c r="A2306" s="426">
        <v>42680</v>
      </c>
      <c r="B2306">
        <v>712.1</v>
      </c>
      <c r="C2306" t="s">
        <v>2713</v>
      </c>
    </row>
    <row r="2307" spans="1:3" x14ac:dyDescent="0.3">
      <c r="A2307" s="426">
        <v>42681</v>
      </c>
      <c r="B2307">
        <v>708.85</v>
      </c>
      <c r="C2307" t="s">
        <v>2714</v>
      </c>
    </row>
    <row r="2308" spans="1:3" x14ac:dyDescent="0.3">
      <c r="A2308" s="426">
        <v>42682</v>
      </c>
      <c r="B2308">
        <v>711.08</v>
      </c>
      <c r="C2308" t="s">
        <v>2715</v>
      </c>
    </row>
    <row r="2309" spans="1:3" x14ac:dyDescent="0.3">
      <c r="A2309" s="426">
        <v>42683</v>
      </c>
      <c r="B2309">
        <v>728.6</v>
      </c>
      <c r="C2309" t="s">
        <v>2716</v>
      </c>
    </row>
    <row r="2310" spans="1:3" x14ac:dyDescent="0.3">
      <c r="A2310" s="426">
        <v>42684</v>
      </c>
      <c r="B2310">
        <v>719.8</v>
      </c>
      <c r="C2310" t="s">
        <v>2717</v>
      </c>
    </row>
    <row r="2311" spans="1:3" x14ac:dyDescent="0.3">
      <c r="A2311" s="426">
        <v>42685</v>
      </c>
      <c r="B2311">
        <v>719.65</v>
      </c>
      <c r="C2311" t="s">
        <v>2718</v>
      </c>
    </row>
    <row r="2312" spans="1:3" x14ac:dyDescent="0.3">
      <c r="A2312" s="426">
        <v>42686</v>
      </c>
      <c r="B2312">
        <v>714.22</v>
      </c>
      <c r="C2312" t="s">
        <v>2719</v>
      </c>
    </row>
    <row r="2313" spans="1:3" x14ac:dyDescent="0.3">
      <c r="A2313" s="426">
        <v>42687</v>
      </c>
      <c r="B2313">
        <v>700.44</v>
      </c>
      <c r="C2313" t="s">
        <v>2720</v>
      </c>
    </row>
    <row r="2314" spans="1:3" x14ac:dyDescent="0.3">
      <c r="A2314" s="426">
        <v>42688</v>
      </c>
      <c r="B2314">
        <v>706.1</v>
      </c>
      <c r="C2314" t="s">
        <v>2721</v>
      </c>
    </row>
    <row r="2315" spans="1:3" x14ac:dyDescent="0.3">
      <c r="A2315" s="426">
        <v>42689</v>
      </c>
      <c r="B2315">
        <v>714.84</v>
      </c>
      <c r="C2315" t="s">
        <v>2722</v>
      </c>
    </row>
    <row r="2316" spans="1:3" x14ac:dyDescent="0.3">
      <c r="A2316" s="426">
        <v>42690</v>
      </c>
      <c r="B2316">
        <v>729.05</v>
      </c>
      <c r="C2316" t="s">
        <v>2723</v>
      </c>
    </row>
    <row r="2317" spans="1:3" x14ac:dyDescent="0.3">
      <c r="A2317" s="426">
        <v>42691</v>
      </c>
      <c r="B2317">
        <v>748.27</v>
      </c>
      <c r="C2317" t="s">
        <v>2724</v>
      </c>
    </row>
    <row r="2318" spans="1:3" x14ac:dyDescent="0.3">
      <c r="A2318" s="426">
        <v>42692</v>
      </c>
      <c r="B2318">
        <v>748.06</v>
      </c>
      <c r="C2318" t="s">
        <v>2725</v>
      </c>
    </row>
    <row r="2319" spans="1:3" x14ac:dyDescent="0.3">
      <c r="A2319" s="426">
        <v>42693</v>
      </c>
      <c r="B2319">
        <v>753.56</v>
      </c>
      <c r="C2319" t="s">
        <v>2726</v>
      </c>
    </row>
    <row r="2320" spans="1:3" x14ac:dyDescent="0.3">
      <c r="A2320" s="426">
        <v>42694</v>
      </c>
      <c r="B2320">
        <v>747.22</v>
      </c>
      <c r="C2320" t="s">
        <v>2727</v>
      </c>
    </row>
    <row r="2321" spans="1:3" x14ac:dyDescent="0.3">
      <c r="A2321" s="426">
        <v>42695</v>
      </c>
      <c r="B2321">
        <v>741.02</v>
      </c>
      <c r="C2321" t="s">
        <v>2728</v>
      </c>
    </row>
    <row r="2322" spans="1:3" x14ac:dyDescent="0.3">
      <c r="A2322" s="426">
        <v>42696</v>
      </c>
      <c r="B2322">
        <v>749.46</v>
      </c>
      <c r="C2322" t="s">
        <v>2729</v>
      </c>
    </row>
    <row r="2323" spans="1:3" x14ac:dyDescent="0.3">
      <c r="A2323" s="426">
        <v>42697</v>
      </c>
      <c r="B2323">
        <v>750.25</v>
      </c>
      <c r="C2323" t="s">
        <v>2730</v>
      </c>
    </row>
    <row r="2324" spans="1:3" x14ac:dyDescent="0.3">
      <c r="A2324" s="426">
        <v>42698</v>
      </c>
      <c r="B2324">
        <v>749.2</v>
      </c>
      <c r="C2324" t="s">
        <v>2731</v>
      </c>
    </row>
    <row r="2325" spans="1:3" x14ac:dyDescent="0.3">
      <c r="A2325" s="426">
        <v>42699</v>
      </c>
      <c r="B2325">
        <v>747.81</v>
      </c>
      <c r="C2325" t="s">
        <v>2732</v>
      </c>
    </row>
    <row r="2326" spans="1:3" x14ac:dyDescent="0.3">
      <c r="A2326" s="426">
        <v>42700</v>
      </c>
      <c r="B2326">
        <v>745.45</v>
      </c>
      <c r="C2326" t="s">
        <v>2733</v>
      </c>
    </row>
    <row r="2327" spans="1:3" x14ac:dyDescent="0.3">
      <c r="A2327" s="426">
        <v>42701</v>
      </c>
      <c r="B2327">
        <v>737.34</v>
      </c>
      <c r="C2327" t="s">
        <v>2734</v>
      </c>
    </row>
    <row r="2328" spans="1:3" x14ac:dyDescent="0.3">
      <c r="A2328" s="426">
        <v>42702</v>
      </c>
      <c r="B2328">
        <v>737.76</v>
      </c>
      <c r="C2328" t="s">
        <v>2735</v>
      </c>
    </row>
    <row r="2329" spans="1:3" x14ac:dyDescent="0.3">
      <c r="A2329" s="426">
        <v>42703</v>
      </c>
      <c r="B2329">
        <v>737.71</v>
      </c>
      <c r="C2329" t="s">
        <v>2736</v>
      </c>
    </row>
    <row r="2330" spans="1:3" x14ac:dyDescent="0.3">
      <c r="A2330" s="426">
        <v>42704</v>
      </c>
      <c r="B2330">
        <v>743.19</v>
      </c>
      <c r="C2330" t="s">
        <v>2737</v>
      </c>
    </row>
    <row r="2331" spans="1:3" x14ac:dyDescent="0.3">
      <c r="A2331" s="426">
        <v>42705</v>
      </c>
      <c r="B2331">
        <v>752.53</v>
      </c>
      <c r="C2331" t="s">
        <v>2738</v>
      </c>
    </row>
    <row r="2332" spans="1:3" x14ac:dyDescent="0.3">
      <c r="A2332" s="426">
        <v>42706</v>
      </c>
      <c r="B2332">
        <v>772</v>
      </c>
      <c r="C2332" t="s">
        <v>2739</v>
      </c>
    </row>
    <row r="2333" spans="1:3" x14ac:dyDescent="0.3">
      <c r="A2333" s="426">
        <v>42707</v>
      </c>
      <c r="B2333">
        <v>769.43</v>
      </c>
      <c r="C2333" t="s">
        <v>2740</v>
      </c>
    </row>
    <row r="2334" spans="1:3" x14ac:dyDescent="0.3">
      <c r="A2334" s="426">
        <v>42708</v>
      </c>
      <c r="B2334">
        <v>769.76</v>
      </c>
      <c r="C2334" t="s">
        <v>2741</v>
      </c>
    </row>
    <row r="2335" spans="1:3" x14ac:dyDescent="0.3">
      <c r="A2335" s="426">
        <v>42709</v>
      </c>
      <c r="B2335">
        <v>761.29</v>
      </c>
      <c r="C2335" t="s">
        <v>2742</v>
      </c>
    </row>
    <row r="2336" spans="1:3" x14ac:dyDescent="0.3">
      <c r="A2336" s="426">
        <v>42710</v>
      </c>
      <c r="B2336">
        <v>762.91</v>
      </c>
      <c r="C2336" t="s">
        <v>2743</v>
      </c>
    </row>
    <row r="2337" spans="1:3" x14ac:dyDescent="0.3">
      <c r="A2337" s="426">
        <v>42711</v>
      </c>
      <c r="B2337">
        <v>767.68</v>
      </c>
      <c r="C2337" t="s">
        <v>2744</v>
      </c>
    </row>
    <row r="2338" spans="1:3" x14ac:dyDescent="0.3">
      <c r="A2338" s="426">
        <v>42712</v>
      </c>
      <c r="B2338">
        <v>773.28</v>
      </c>
      <c r="C2338" t="s">
        <v>2745</v>
      </c>
    </row>
    <row r="2339" spans="1:3" x14ac:dyDescent="0.3">
      <c r="A2339" s="426">
        <v>42713</v>
      </c>
      <c r="B2339">
        <v>775.8</v>
      </c>
      <c r="C2339" t="s">
        <v>2746</v>
      </c>
    </row>
    <row r="2340" spans="1:3" x14ac:dyDescent="0.3">
      <c r="A2340" s="426">
        <v>42714</v>
      </c>
      <c r="B2340">
        <v>778.79</v>
      </c>
      <c r="C2340" t="s">
        <v>2747</v>
      </c>
    </row>
    <row r="2341" spans="1:3" x14ac:dyDescent="0.3">
      <c r="A2341" s="426">
        <v>42715</v>
      </c>
      <c r="B2341">
        <v>772.62</v>
      </c>
      <c r="C2341" t="s">
        <v>2748</v>
      </c>
    </row>
    <row r="2342" spans="1:3" x14ac:dyDescent="0.3">
      <c r="A2342" s="426">
        <v>42716</v>
      </c>
      <c r="B2342">
        <v>780.45</v>
      </c>
      <c r="C2342" t="s">
        <v>2749</v>
      </c>
    </row>
    <row r="2343" spans="1:3" x14ac:dyDescent="0.3">
      <c r="A2343" s="426">
        <v>42717</v>
      </c>
      <c r="B2343">
        <v>784.3</v>
      </c>
      <c r="C2343" t="s">
        <v>2750</v>
      </c>
    </row>
    <row r="2344" spans="1:3" x14ac:dyDescent="0.3">
      <c r="A2344" s="426">
        <v>42718</v>
      </c>
      <c r="B2344">
        <v>784.81</v>
      </c>
      <c r="C2344" t="s">
        <v>2751</v>
      </c>
    </row>
    <row r="2345" spans="1:3" x14ac:dyDescent="0.3">
      <c r="A2345" s="426">
        <v>42719</v>
      </c>
      <c r="B2345">
        <v>782.16</v>
      </c>
      <c r="C2345" t="s">
        <v>2752</v>
      </c>
    </row>
    <row r="2346" spans="1:3" x14ac:dyDescent="0.3">
      <c r="A2346" s="426">
        <v>42720</v>
      </c>
      <c r="B2346">
        <v>784.18</v>
      </c>
      <c r="C2346" t="s">
        <v>2753</v>
      </c>
    </row>
    <row r="2347" spans="1:3" x14ac:dyDescent="0.3">
      <c r="A2347" s="426">
        <v>42721</v>
      </c>
      <c r="B2347">
        <v>791.37</v>
      </c>
      <c r="C2347" t="s">
        <v>2754</v>
      </c>
    </row>
    <row r="2348" spans="1:3" x14ac:dyDescent="0.3">
      <c r="A2348" s="426">
        <v>42722</v>
      </c>
      <c r="B2348">
        <v>791.97</v>
      </c>
      <c r="C2348" t="s">
        <v>2755</v>
      </c>
    </row>
    <row r="2349" spans="1:3" x14ac:dyDescent="0.3">
      <c r="A2349" s="426">
        <v>42723</v>
      </c>
      <c r="B2349">
        <v>795.11</v>
      </c>
      <c r="C2349" t="s">
        <v>2756</v>
      </c>
    </row>
    <row r="2350" spans="1:3" x14ac:dyDescent="0.3">
      <c r="A2350" s="426">
        <v>42724</v>
      </c>
      <c r="B2350">
        <v>796.26</v>
      </c>
      <c r="C2350" t="s">
        <v>2757</v>
      </c>
    </row>
    <row r="2351" spans="1:3" x14ac:dyDescent="0.3">
      <c r="A2351" s="426">
        <v>42725</v>
      </c>
      <c r="B2351">
        <v>819.6</v>
      </c>
      <c r="C2351" t="s">
        <v>2758</v>
      </c>
    </row>
    <row r="2352" spans="1:3" x14ac:dyDescent="0.3">
      <c r="A2352" s="426">
        <v>42726</v>
      </c>
      <c r="B2352">
        <v>858.35</v>
      </c>
      <c r="C2352" t="s">
        <v>2759</v>
      </c>
    </row>
    <row r="2353" spans="1:3" x14ac:dyDescent="0.3">
      <c r="A2353" s="426">
        <v>42727</v>
      </c>
      <c r="B2353">
        <v>902.66</v>
      </c>
      <c r="C2353" t="s">
        <v>2760</v>
      </c>
    </row>
    <row r="2354" spans="1:3" x14ac:dyDescent="0.3">
      <c r="A2354" s="426">
        <v>42728</v>
      </c>
      <c r="B2354">
        <v>905.79</v>
      </c>
      <c r="C2354" t="s">
        <v>2761</v>
      </c>
    </row>
    <row r="2355" spans="1:3" x14ac:dyDescent="0.3">
      <c r="A2355" s="426">
        <v>42729</v>
      </c>
      <c r="B2355">
        <v>880.14</v>
      </c>
      <c r="C2355" t="s">
        <v>2762</v>
      </c>
    </row>
    <row r="2356" spans="1:3" x14ac:dyDescent="0.3">
      <c r="A2356" s="426">
        <v>42730</v>
      </c>
      <c r="B2356">
        <v>904.39</v>
      </c>
      <c r="C2356" t="s">
        <v>2763</v>
      </c>
    </row>
    <row r="2357" spans="1:3" x14ac:dyDescent="0.3">
      <c r="A2357" s="426">
        <v>42731</v>
      </c>
      <c r="B2357">
        <v>920.82</v>
      </c>
      <c r="C2357" t="s">
        <v>2764</v>
      </c>
    </row>
    <row r="2358" spans="1:3" x14ac:dyDescent="0.3">
      <c r="A2358" s="426">
        <v>42732</v>
      </c>
      <c r="B2358">
        <v>958.82</v>
      </c>
      <c r="C2358" t="s">
        <v>2765</v>
      </c>
    </row>
    <row r="2359" spans="1:3" x14ac:dyDescent="0.3">
      <c r="A2359" s="426">
        <v>42733</v>
      </c>
      <c r="B2359">
        <v>973.35</v>
      </c>
      <c r="C2359" t="s">
        <v>2766</v>
      </c>
    </row>
    <row r="2360" spans="1:3" x14ac:dyDescent="0.3">
      <c r="A2360" s="426">
        <v>42734</v>
      </c>
      <c r="B2360">
        <v>958.53</v>
      </c>
      <c r="C2360" t="s">
        <v>2767</v>
      </c>
    </row>
    <row r="2361" spans="1:3" x14ac:dyDescent="0.3">
      <c r="A2361" s="426">
        <v>42735</v>
      </c>
      <c r="B2361">
        <v>960.06</v>
      </c>
      <c r="C2361" t="s">
        <v>2768</v>
      </c>
    </row>
    <row r="2362" spans="1:3" x14ac:dyDescent="0.3">
      <c r="A2362" s="426">
        <v>42736</v>
      </c>
      <c r="B2362">
        <v>979.53</v>
      </c>
      <c r="C2362" t="s">
        <v>2769</v>
      </c>
    </row>
    <row r="2363" spans="1:3" x14ac:dyDescent="0.3">
      <c r="A2363" s="426">
        <v>42737</v>
      </c>
      <c r="B2363">
        <v>1018.17</v>
      </c>
      <c r="C2363" t="s">
        <v>2770</v>
      </c>
    </row>
    <row r="2364" spans="1:3" x14ac:dyDescent="0.3">
      <c r="A2364" s="426">
        <v>42738</v>
      </c>
      <c r="B2364">
        <v>1031.18</v>
      </c>
      <c r="C2364" t="s">
        <v>2771</v>
      </c>
    </row>
    <row r="2365" spans="1:3" x14ac:dyDescent="0.3">
      <c r="A2365" s="426">
        <v>42739</v>
      </c>
      <c r="B2365">
        <v>1087.68</v>
      </c>
      <c r="C2365" t="s">
        <v>2772</v>
      </c>
    </row>
    <row r="2366" spans="1:3" x14ac:dyDescent="0.3">
      <c r="A2366" s="426">
        <v>42740</v>
      </c>
      <c r="B2366">
        <v>1060.08</v>
      </c>
      <c r="C2366" t="s">
        <v>2773</v>
      </c>
    </row>
    <row r="2367" spans="1:3" x14ac:dyDescent="0.3">
      <c r="A2367" s="426">
        <v>42741</v>
      </c>
      <c r="B2367">
        <v>942.65</v>
      </c>
      <c r="C2367" t="s">
        <v>2774</v>
      </c>
    </row>
    <row r="2368" spans="1:3" x14ac:dyDescent="0.3">
      <c r="A2368" s="426">
        <v>42742</v>
      </c>
      <c r="B2368">
        <v>876.54</v>
      </c>
      <c r="C2368" t="s">
        <v>2775</v>
      </c>
    </row>
    <row r="2369" spans="1:3" x14ac:dyDescent="0.3">
      <c r="A2369" s="426">
        <v>42743</v>
      </c>
      <c r="B2369">
        <v>920.99</v>
      </c>
      <c r="C2369" t="s">
        <v>2776</v>
      </c>
    </row>
    <row r="2370" spans="1:3" x14ac:dyDescent="0.3">
      <c r="A2370" s="426">
        <v>42744</v>
      </c>
      <c r="B2370">
        <v>900.04</v>
      </c>
      <c r="C2370" t="s">
        <v>2777</v>
      </c>
    </row>
    <row r="2371" spans="1:3" x14ac:dyDescent="0.3">
      <c r="A2371" s="426">
        <v>42745</v>
      </c>
      <c r="B2371">
        <v>910.02</v>
      </c>
      <c r="C2371" t="s">
        <v>2778</v>
      </c>
    </row>
    <row r="2372" spans="1:3" x14ac:dyDescent="0.3">
      <c r="A2372" s="426">
        <v>42746</v>
      </c>
      <c r="B2372">
        <v>852.88</v>
      </c>
      <c r="C2372" t="s">
        <v>2779</v>
      </c>
    </row>
    <row r="2373" spans="1:3" x14ac:dyDescent="0.3">
      <c r="A2373" s="426">
        <v>42747</v>
      </c>
      <c r="B2373">
        <v>789.67</v>
      </c>
      <c r="C2373" t="s">
        <v>2780</v>
      </c>
    </row>
    <row r="2374" spans="1:3" x14ac:dyDescent="0.3">
      <c r="A2374" s="426">
        <v>42748</v>
      </c>
      <c r="B2374">
        <v>812</v>
      </c>
      <c r="C2374" t="s">
        <v>2781</v>
      </c>
    </row>
    <row r="2375" spans="1:3" x14ac:dyDescent="0.3">
      <c r="A2375" s="426">
        <v>42749</v>
      </c>
      <c r="B2375">
        <v>830.89</v>
      </c>
      <c r="C2375" t="s">
        <v>2782</v>
      </c>
    </row>
    <row r="2376" spans="1:3" x14ac:dyDescent="0.3">
      <c r="A2376" s="426">
        <v>42750</v>
      </c>
      <c r="B2376">
        <v>821.4</v>
      </c>
      <c r="C2376" t="s">
        <v>2783</v>
      </c>
    </row>
    <row r="2377" spans="1:3" x14ac:dyDescent="0.3">
      <c r="A2377" s="426">
        <v>42751</v>
      </c>
      <c r="B2377">
        <v>832.6</v>
      </c>
      <c r="C2377" t="s">
        <v>2784</v>
      </c>
    </row>
    <row r="2378" spans="1:3" x14ac:dyDescent="0.3">
      <c r="A2378" s="426">
        <v>42752</v>
      </c>
      <c r="B2378">
        <v>881.76</v>
      </c>
      <c r="C2378" t="s">
        <v>2785</v>
      </c>
    </row>
    <row r="2379" spans="1:3" x14ac:dyDescent="0.3">
      <c r="A2379" s="426">
        <v>42753</v>
      </c>
      <c r="B2379">
        <v>890</v>
      </c>
      <c r="C2379" t="s">
        <v>2786</v>
      </c>
    </row>
    <row r="2380" spans="1:3" x14ac:dyDescent="0.3">
      <c r="A2380" s="426">
        <v>42754</v>
      </c>
      <c r="B2380">
        <v>897.04</v>
      </c>
      <c r="C2380" t="s">
        <v>2787</v>
      </c>
    </row>
    <row r="2381" spans="1:3" x14ac:dyDescent="0.3">
      <c r="A2381" s="426">
        <v>42755</v>
      </c>
      <c r="B2381">
        <v>899.16</v>
      </c>
      <c r="C2381" t="s">
        <v>2788</v>
      </c>
    </row>
    <row r="2382" spans="1:3" x14ac:dyDescent="0.3">
      <c r="A2382" s="426">
        <v>42756</v>
      </c>
      <c r="B2382">
        <v>920.53</v>
      </c>
      <c r="C2382" t="s">
        <v>2789</v>
      </c>
    </row>
    <row r="2383" spans="1:3" x14ac:dyDescent="0.3">
      <c r="A2383" s="426">
        <v>42757</v>
      </c>
      <c r="B2383">
        <v>926.27</v>
      </c>
      <c r="C2383" t="s">
        <v>2790</v>
      </c>
    </row>
    <row r="2384" spans="1:3" x14ac:dyDescent="0.3">
      <c r="A2384" s="426">
        <v>42758</v>
      </c>
      <c r="B2384">
        <v>924.25</v>
      </c>
      <c r="C2384" t="s">
        <v>2791</v>
      </c>
    </row>
    <row r="2385" spans="1:3" x14ac:dyDescent="0.3">
      <c r="A2385" s="426">
        <v>42759</v>
      </c>
      <c r="B2385">
        <v>911.75</v>
      </c>
      <c r="C2385" t="s">
        <v>2792</v>
      </c>
    </row>
    <row r="2386" spans="1:3" x14ac:dyDescent="0.3">
      <c r="A2386" s="426">
        <v>42760</v>
      </c>
      <c r="B2386">
        <v>900.08</v>
      </c>
      <c r="C2386" t="s">
        <v>2793</v>
      </c>
    </row>
    <row r="2387" spans="1:3" x14ac:dyDescent="0.3">
      <c r="A2387" s="426">
        <v>42761</v>
      </c>
      <c r="B2387">
        <v>910.41</v>
      </c>
      <c r="C2387" t="s">
        <v>2794</v>
      </c>
    </row>
    <row r="2388" spans="1:3" x14ac:dyDescent="0.3">
      <c r="A2388" s="426">
        <v>42762</v>
      </c>
      <c r="B2388">
        <v>919.69</v>
      </c>
      <c r="C2388" t="s">
        <v>2795</v>
      </c>
    </row>
    <row r="2389" spans="1:3" x14ac:dyDescent="0.3">
      <c r="A2389" s="426">
        <v>42763</v>
      </c>
      <c r="B2389">
        <v>922.01</v>
      </c>
      <c r="C2389" t="s">
        <v>2796</v>
      </c>
    </row>
    <row r="2390" spans="1:3" x14ac:dyDescent="0.3">
      <c r="A2390" s="426">
        <v>42764</v>
      </c>
      <c r="B2390">
        <v>921.44</v>
      </c>
      <c r="C2390" t="s">
        <v>2797</v>
      </c>
    </row>
    <row r="2391" spans="1:3" x14ac:dyDescent="0.3">
      <c r="A2391" s="426">
        <v>42765</v>
      </c>
      <c r="B2391">
        <v>922.51</v>
      </c>
      <c r="C2391" t="s">
        <v>2798</v>
      </c>
    </row>
    <row r="2392" spans="1:3" x14ac:dyDescent="0.3">
      <c r="A2392" s="426">
        <v>42766</v>
      </c>
      <c r="B2392">
        <v>944.21</v>
      </c>
      <c r="C2392" t="s">
        <v>2799</v>
      </c>
    </row>
    <row r="2393" spans="1:3" x14ac:dyDescent="0.3">
      <c r="A2393" s="426">
        <v>42767</v>
      </c>
      <c r="B2393">
        <v>976.67</v>
      </c>
      <c r="C2393" t="s">
        <v>2800</v>
      </c>
    </row>
    <row r="2394" spans="1:3" x14ac:dyDescent="0.3">
      <c r="A2394" s="426">
        <v>42768</v>
      </c>
      <c r="B2394">
        <v>996.83</v>
      </c>
      <c r="C2394" t="s">
        <v>2801</v>
      </c>
    </row>
    <row r="2395" spans="1:3" x14ac:dyDescent="0.3">
      <c r="A2395" s="426">
        <v>42769</v>
      </c>
      <c r="B2395">
        <v>1023.48</v>
      </c>
      <c r="C2395" t="s">
        <v>2802</v>
      </c>
    </row>
    <row r="2396" spans="1:3" x14ac:dyDescent="0.3">
      <c r="A2396" s="426">
        <v>42770</v>
      </c>
      <c r="B2396">
        <v>1029.1199999999999</v>
      </c>
      <c r="C2396" t="s">
        <v>2803</v>
      </c>
    </row>
    <row r="2397" spans="1:3" x14ac:dyDescent="0.3">
      <c r="A2397" s="426">
        <v>42771</v>
      </c>
      <c r="B2397">
        <v>1033.79</v>
      </c>
      <c r="C2397" t="s">
        <v>2804</v>
      </c>
    </row>
    <row r="2398" spans="1:3" x14ac:dyDescent="0.3">
      <c r="A2398" s="426">
        <v>42772</v>
      </c>
      <c r="B2398">
        <v>1036.8900000000001</v>
      </c>
      <c r="C2398" t="s">
        <v>2805</v>
      </c>
    </row>
    <row r="2399" spans="1:3" x14ac:dyDescent="0.3">
      <c r="A2399" s="426">
        <v>42773</v>
      </c>
      <c r="B2399">
        <v>1053.92</v>
      </c>
      <c r="C2399" t="s">
        <v>2806</v>
      </c>
    </row>
    <row r="2400" spans="1:3" x14ac:dyDescent="0.3">
      <c r="A2400" s="426">
        <v>42774</v>
      </c>
      <c r="B2400">
        <v>1063.32</v>
      </c>
      <c r="C2400" t="s">
        <v>2807</v>
      </c>
    </row>
    <row r="2401" spans="1:3" x14ac:dyDescent="0.3">
      <c r="A2401" s="426">
        <v>42775</v>
      </c>
      <c r="B2401">
        <v>1032.72</v>
      </c>
      <c r="C2401" t="s">
        <v>2808</v>
      </c>
    </row>
    <row r="2402" spans="1:3" x14ac:dyDescent="0.3">
      <c r="A2402" s="426">
        <v>42776</v>
      </c>
      <c r="B2402">
        <v>974.42</v>
      </c>
      <c r="C2402" t="s">
        <v>2809</v>
      </c>
    </row>
    <row r="2403" spans="1:3" x14ac:dyDescent="0.3">
      <c r="A2403" s="426">
        <v>42777</v>
      </c>
      <c r="B2403">
        <v>1001.7</v>
      </c>
      <c r="C2403" t="s">
        <v>2810</v>
      </c>
    </row>
    <row r="2404" spans="1:3" x14ac:dyDescent="0.3">
      <c r="A2404" s="426">
        <v>42778</v>
      </c>
      <c r="B2404">
        <v>999.57</v>
      </c>
      <c r="C2404" t="s">
        <v>2811</v>
      </c>
    </row>
    <row r="2405" spans="1:3" x14ac:dyDescent="0.3">
      <c r="A2405" s="426">
        <v>42779</v>
      </c>
      <c r="B2405">
        <v>993.83</v>
      </c>
      <c r="C2405" t="s">
        <v>2812</v>
      </c>
    </row>
    <row r="2406" spans="1:3" x14ac:dyDescent="0.3">
      <c r="A2406" s="426">
        <v>42780</v>
      </c>
      <c r="B2406">
        <v>1001.26</v>
      </c>
      <c r="C2406" t="s">
        <v>2813</v>
      </c>
    </row>
    <row r="2407" spans="1:3" x14ac:dyDescent="0.3">
      <c r="A2407" s="426">
        <v>42781</v>
      </c>
      <c r="B2407">
        <v>1005.31</v>
      </c>
      <c r="C2407" t="s">
        <v>2814</v>
      </c>
    </row>
    <row r="2408" spans="1:3" x14ac:dyDescent="0.3">
      <c r="A2408" s="426">
        <v>42782</v>
      </c>
      <c r="B2408">
        <v>1021.04</v>
      </c>
      <c r="C2408" t="s">
        <v>2815</v>
      </c>
    </row>
    <row r="2409" spans="1:3" x14ac:dyDescent="0.3">
      <c r="A2409" s="426">
        <v>42783</v>
      </c>
      <c r="B2409">
        <v>1040.05</v>
      </c>
      <c r="C2409" t="s">
        <v>2816</v>
      </c>
    </row>
    <row r="2410" spans="1:3" x14ac:dyDescent="0.3">
      <c r="A2410" s="426">
        <v>42784</v>
      </c>
      <c r="B2410">
        <v>1056.5</v>
      </c>
      <c r="C2410" t="s">
        <v>2817</v>
      </c>
    </row>
    <row r="2411" spans="1:3" x14ac:dyDescent="0.3">
      <c r="A2411" s="426">
        <v>42785</v>
      </c>
      <c r="B2411">
        <v>1051.2</v>
      </c>
      <c r="C2411" t="s">
        <v>2818</v>
      </c>
    </row>
    <row r="2412" spans="1:3" x14ac:dyDescent="0.3">
      <c r="A2412" s="426">
        <v>42786</v>
      </c>
      <c r="B2412">
        <v>1054.29</v>
      </c>
      <c r="C2412" t="s">
        <v>2819</v>
      </c>
    </row>
    <row r="2413" spans="1:3" x14ac:dyDescent="0.3">
      <c r="A2413" s="426">
        <v>42787</v>
      </c>
      <c r="B2413">
        <v>1093.67</v>
      </c>
      <c r="C2413" t="s">
        <v>2820</v>
      </c>
    </row>
    <row r="2414" spans="1:3" x14ac:dyDescent="0.3">
      <c r="A2414" s="426">
        <v>42788</v>
      </c>
      <c r="B2414">
        <v>1112.44</v>
      </c>
      <c r="C2414" t="s">
        <v>2821</v>
      </c>
    </row>
    <row r="2415" spans="1:3" x14ac:dyDescent="0.3">
      <c r="A2415" s="426">
        <v>42789</v>
      </c>
      <c r="B2415">
        <v>1139.22</v>
      </c>
      <c r="C2415" t="s">
        <v>2822</v>
      </c>
    </row>
    <row r="2416" spans="1:3" x14ac:dyDescent="0.3">
      <c r="A2416" s="426">
        <v>42790</v>
      </c>
      <c r="B2416">
        <v>1175</v>
      </c>
      <c r="C2416" t="s">
        <v>2823</v>
      </c>
    </row>
    <row r="2417" spans="1:3" x14ac:dyDescent="0.3">
      <c r="A2417" s="426">
        <v>42791</v>
      </c>
      <c r="B2417">
        <v>1159.54</v>
      </c>
      <c r="C2417" t="s">
        <v>2824</v>
      </c>
    </row>
    <row r="2418" spans="1:3" x14ac:dyDescent="0.3">
      <c r="A2418" s="426">
        <v>42792</v>
      </c>
      <c r="B2418">
        <v>1154.02</v>
      </c>
      <c r="C2418" t="s">
        <v>2825</v>
      </c>
    </row>
    <row r="2419" spans="1:3" x14ac:dyDescent="0.3">
      <c r="A2419" s="426">
        <v>42793</v>
      </c>
      <c r="B2419">
        <v>1172.75</v>
      </c>
      <c r="C2419" t="s">
        <v>2826</v>
      </c>
    </row>
    <row r="2420" spans="1:3" x14ac:dyDescent="0.3">
      <c r="A2420" s="426">
        <v>42794</v>
      </c>
      <c r="B2420">
        <v>1179.77</v>
      </c>
      <c r="C2420" t="s">
        <v>2827</v>
      </c>
    </row>
    <row r="2421" spans="1:3" x14ac:dyDescent="0.3">
      <c r="A2421" s="426">
        <v>42795</v>
      </c>
      <c r="B2421">
        <v>1194.6300000000001</v>
      </c>
      <c r="C2421" t="s">
        <v>2828</v>
      </c>
    </row>
    <row r="2422" spans="1:3" x14ac:dyDescent="0.3">
      <c r="A2422" s="426">
        <v>42796</v>
      </c>
      <c r="B2422">
        <v>1225.2</v>
      </c>
      <c r="C2422" t="s">
        <v>2829</v>
      </c>
    </row>
    <row r="2423" spans="1:3" x14ac:dyDescent="0.3">
      <c r="A2423" s="426">
        <v>42797</v>
      </c>
      <c r="B2423">
        <v>1259.04</v>
      </c>
      <c r="C2423" t="s">
        <v>2830</v>
      </c>
    </row>
    <row r="2424" spans="1:3" x14ac:dyDescent="0.3">
      <c r="A2424" s="426">
        <v>42798</v>
      </c>
      <c r="B2424">
        <v>1259.53</v>
      </c>
      <c r="C2424" t="s">
        <v>2831</v>
      </c>
    </row>
    <row r="2425" spans="1:3" x14ac:dyDescent="0.3">
      <c r="A2425" s="426">
        <v>42799</v>
      </c>
      <c r="B2425">
        <v>1246.75</v>
      </c>
      <c r="C2425" t="s">
        <v>2832</v>
      </c>
    </row>
    <row r="2426" spans="1:3" x14ac:dyDescent="0.3">
      <c r="A2426" s="426">
        <v>42800</v>
      </c>
      <c r="B2426">
        <v>1263.6600000000001</v>
      </c>
      <c r="C2426" t="s">
        <v>2833</v>
      </c>
    </row>
    <row r="2427" spans="1:3" x14ac:dyDescent="0.3">
      <c r="A2427" s="426">
        <v>42801</v>
      </c>
      <c r="B2427">
        <v>1239.1300000000001</v>
      </c>
      <c r="C2427" t="s">
        <v>2834</v>
      </c>
    </row>
    <row r="2428" spans="1:3" x14ac:dyDescent="0.3">
      <c r="A2428" s="426">
        <v>42802</v>
      </c>
      <c r="B2428">
        <v>1186.06</v>
      </c>
      <c r="C2428" t="s">
        <v>2835</v>
      </c>
    </row>
    <row r="2429" spans="1:3" x14ac:dyDescent="0.3">
      <c r="A2429" s="426">
        <v>42803</v>
      </c>
      <c r="B2429">
        <v>1167.29</v>
      </c>
      <c r="C2429" t="s">
        <v>2836</v>
      </c>
    </row>
    <row r="2430" spans="1:3" x14ac:dyDescent="0.3">
      <c r="A2430" s="426">
        <v>42804</v>
      </c>
      <c r="B2430">
        <v>1194.3599999999999</v>
      </c>
      <c r="C2430" t="s">
        <v>2837</v>
      </c>
    </row>
    <row r="2431" spans="1:3" x14ac:dyDescent="0.3">
      <c r="A2431" s="426">
        <v>42805</v>
      </c>
      <c r="B2431">
        <v>1164.97</v>
      </c>
      <c r="C2431" t="s">
        <v>2838</v>
      </c>
    </row>
    <row r="2432" spans="1:3" x14ac:dyDescent="0.3">
      <c r="A2432" s="426">
        <v>42806</v>
      </c>
      <c r="B2432">
        <v>1190.6400000000001</v>
      </c>
      <c r="C2432" t="s">
        <v>2839</v>
      </c>
    </row>
    <row r="2433" spans="1:3" x14ac:dyDescent="0.3">
      <c r="A2433" s="426">
        <v>42807</v>
      </c>
      <c r="B2433">
        <v>1220</v>
      </c>
      <c r="C2433" t="s">
        <v>2840</v>
      </c>
    </row>
    <row r="2434" spans="1:3" x14ac:dyDescent="0.3">
      <c r="A2434" s="426">
        <v>42808</v>
      </c>
      <c r="B2434">
        <v>1233.6600000000001</v>
      </c>
      <c r="C2434" t="s">
        <v>2841</v>
      </c>
    </row>
    <row r="2435" spans="1:3" x14ac:dyDescent="0.3">
      <c r="A2435" s="426">
        <v>42809</v>
      </c>
      <c r="B2435">
        <v>1253.82</v>
      </c>
      <c r="C2435" t="s">
        <v>2842</v>
      </c>
    </row>
    <row r="2436" spans="1:3" x14ac:dyDescent="0.3">
      <c r="A2436" s="426">
        <v>42810</v>
      </c>
      <c r="B2436">
        <v>1226.93</v>
      </c>
      <c r="C2436" t="s">
        <v>2843</v>
      </c>
    </row>
    <row r="2437" spans="1:3" x14ac:dyDescent="0.3">
      <c r="A2437" s="426">
        <v>42811</v>
      </c>
      <c r="B2437">
        <v>1141.7</v>
      </c>
      <c r="C2437" t="s">
        <v>2844</v>
      </c>
    </row>
    <row r="2438" spans="1:3" x14ac:dyDescent="0.3">
      <c r="A2438" s="426">
        <v>42812</v>
      </c>
      <c r="B2438">
        <v>1047</v>
      </c>
      <c r="C2438" t="s">
        <v>2845</v>
      </c>
    </row>
    <row r="2439" spans="1:3" x14ac:dyDescent="0.3">
      <c r="A2439" s="426">
        <v>42813</v>
      </c>
      <c r="B2439">
        <v>1018.27</v>
      </c>
      <c r="C2439" t="s">
        <v>2846</v>
      </c>
    </row>
    <row r="2440" spans="1:3" x14ac:dyDescent="0.3">
      <c r="A2440" s="426">
        <v>42814</v>
      </c>
      <c r="B2440">
        <v>1044.95</v>
      </c>
      <c r="C2440" t="s">
        <v>2847</v>
      </c>
    </row>
    <row r="2441" spans="1:3" x14ac:dyDescent="0.3">
      <c r="A2441" s="426">
        <v>42815</v>
      </c>
      <c r="B2441">
        <v>1089.49</v>
      </c>
      <c r="C2441" t="s">
        <v>2848</v>
      </c>
    </row>
    <row r="2442" spans="1:3" x14ac:dyDescent="0.3">
      <c r="A2442" s="426">
        <v>42816</v>
      </c>
      <c r="B2442">
        <v>1063.72</v>
      </c>
      <c r="C2442" t="s">
        <v>2849</v>
      </c>
    </row>
    <row r="2443" spans="1:3" x14ac:dyDescent="0.3">
      <c r="A2443" s="426">
        <v>42817</v>
      </c>
      <c r="B2443">
        <v>1043.82</v>
      </c>
      <c r="C2443" t="s">
        <v>2850</v>
      </c>
    </row>
    <row r="2444" spans="1:3" x14ac:dyDescent="0.3">
      <c r="A2444" s="426">
        <v>42818</v>
      </c>
      <c r="B2444">
        <v>998.22</v>
      </c>
      <c r="C2444" t="s">
        <v>2851</v>
      </c>
    </row>
    <row r="2445" spans="1:3" x14ac:dyDescent="0.3">
      <c r="A2445" s="426">
        <v>42819</v>
      </c>
      <c r="B2445">
        <v>935.5</v>
      </c>
      <c r="C2445" t="s">
        <v>2852</v>
      </c>
    </row>
    <row r="2446" spans="1:3" x14ac:dyDescent="0.3">
      <c r="A2446" s="426">
        <v>42820</v>
      </c>
      <c r="B2446">
        <v>974.76</v>
      </c>
      <c r="C2446" t="s">
        <v>2853</v>
      </c>
    </row>
    <row r="2447" spans="1:3" x14ac:dyDescent="0.3">
      <c r="A2447" s="426">
        <v>42821</v>
      </c>
      <c r="B2447">
        <v>1001.95</v>
      </c>
      <c r="C2447" t="s">
        <v>2854</v>
      </c>
    </row>
    <row r="2448" spans="1:3" x14ac:dyDescent="0.3">
      <c r="A2448" s="426">
        <v>42822</v>
      </c>
      <c r="B2448">
        <v>1041.72</v>
      </c>
      <c r="C2448" t="s">
        <v>2855</v>
      </c>
    </row>
    <row r="2449" spans="1:3" x14ac:dyDescent="0.3">
      <c r="A2449" s="426">
        <v>42823</v>
      </c>
      <c r="B2449">
        <v>1034.18</v>
      </c>
      <c r="C2449" t="s">
        <v>2856</v>
      </c>
    </row>
    <row r="2450" spans="1:3" x14ac:dyDescent="0.3">
      <c r="A2450" s="426">
        <v>42824</v>
      </c>
      <c r="B2450">
        <v>1028.3399999999999</v>
      </c>
      <c r="C2450" t="s">
        <v>2857</v>
      </c>
    </row>
    <row r="2451" spans="1:3" x14ac:dyDescent="0.3">
      <c r="A2451" s="426">
        <v>42825</v>
      </c>
      <c r="B2451">
        <v>1045.03</v>
      </c>
      <c r="C2451" t="s">
        <v>2858</v>
      </c>
    </row>
    <row r="2452" spans="1:3" x14ac:dyDescent="0.3">
      <c r="A2452" s="426">
        <v>42826</v>
      </c>
      <c r="B2452">
        <v>1069.78</v>
      </c>
      <c r="C2452" t="s">
        <v>2859</v>
      </c>
    </row>
    <row r="2453" spans="1:3" x14ac:dyDescent="0.3">
      <c r="A2453" s="426">
        <v>42827</v>
      </c>
      <c r="B2453">
        <v>1076.5899999999999</v>
      </c>
      <c r="C2453" t="s">
        <v>2860</v>
      </c>
    </row>
    <row r="2454" spans="1:3" x14ac:dyDescent="0.3">
      <c r="A2454" s="426">
        <v>42828</v>
      </c>
      <c r="B2454">
        <v>1130.52</v>
      </c>
      <c r="C2454" t="s">
        <v>2861</v>
      </c>
    </row>
    <row r="2455" spans="1:3" x14ac:dyDescent="0.3">
      <c r="A2455" s="426">
        <v>42829</v>
      </c>
      <c r="B2455">
        <v>1146.4000000000001</v>
      </c>
      <c r="C2455" t="s">
        <v>2862</v>
      </c>
    </row>
    <row r="2456" spans="1:3" x14ac:dyDescent="0.3">
      <c r="A2456" s="426">
        <v>42830</v>
      </c>
      <c r="B2456">
        <v>1133.1500000000001</v>
      </c>
      <c r="C2456" t="s">
        <v>2863</v>
      </c>
    </row>
    <row r="2457" spans="1:3" x14ac:dyDescent="0.3">
      <c r="A2457" s="426">
        <v>42831</v>
      </c>
      <c r="B2457">
        <v>1167.17</v>
      </c>
      <c r="C2457" t="s">
        <v>2864</v>
      </c>
    </row>
    <row r="2458" spans="1:3" x14ac:dyDescent="0.3">
      <c r="A2458" s="426">
        <v>42832</v>
      </c>
      <c r="B2458">
        <v>1191.67</v>
      </c>
      <c r="C2458" t="s">
        <v>2865</v>
      </c>
    </row>
    <row r="2459" spans="1:3" x14ac:dyDescent="0.3">
      <c r="A2459" s="426">
        <v>42833</v>
      </c>
      <c r="B2459">
        <v>1188.67</v>
      </c>
      <c r="C2459" t="s">
        <v>2866</v>
      </c>
    </row>
    <row r="2460" spans="1:3" x14ac:dyDescent="0.3">
      <c r="A2460" s="426">
        <v>42834</v>
      </c>
      <c r="B2460">
        <v>1192.76</v>
      </c>
      <c r="C2460" t="s">
        <v>2867</v>
      </c>
    </row>
    <row r="2461" spans="1:3" x14ac:dyDescent="0.3">
      <c r="A2461" s="426">
        <v>42835</v>
      </c>
      <c r="B2461">
        <v>1208.9000000000001</v>
      </c>
      <c r="C2461" t="s">
        <v>2868</v>
      </c>
    </row>
    <row r="2462" spans="1:3" x14ac:dyDescent="0.3">
      <c r="A2462" s="426">
        <v>42836</v>
      </c>
      <c r="B2462">
        <v>1215.33</v>
      </c>
      <c r="C2462" t="s">
        <v>2869</v>
      </c>
    </row>
    <row r="2463" spans="1:3" x14ac:dyDescent="0.3">
      <c r="A2463" s="426">
        <v>42837</v>
      </c>
      <c r="B2463">
        <v>1221.3900000000001</v>
      </c>
      <c r="C2463" t="s">
        <v>2870</v>
      </c>
    </row>
    <row r="2464" spans="1:3" x14ac:dyDescent="0.3">
      <c r="A2464" s="426">
        <v>42838</v>
      </c>
      <c r="B2464">
        <v>1194.05</v>
      </c>
      <c r="C2464" t="s">
        <v>2871</v>
      </c>
    </row>
    <row r="2465" spans="1:3" x14ac:dyDescent="0.3">
      <c r="A2465" s="426">
        <v>42839</v>
      </c>
      <c r="B2465">
        <v>1188.18</v>
      </c>
      <c r="C2465" t="s">
        <v>2872</v>
      </c>
    </row>
    <row r="2466" spans="1:3" x14ac:dyDescent="0.3">
      <c r="A2466" s="426">
        <v>42840</v>
      </c>
      <c r="B2466">
        <v>1190.4100000000001</v>
      </c>
      <c r="C2466" t="s">
        <v>2873</v>
      </c>
    </row>
    <row r="2467" spans="1:3" x14ac:dyDescent="0.3">
      <c r="A2467" s="426">
        <v>42841</v>
      </c>
      <c r="B2467">
        <v>1188.92</v>
      </c>
      <c r="C2467" t="s">
        <v>2874</v>
      </c>
    </row>
    <row r="2468" spans="1:3" x14ac:dyDescent="0.3">
      <c r="A2468" s="426">
        <v>42842</v>
      </c>
      <c r="B2468">
        <v>1195</v>
      </c>
      <c r="C2468" t="s">
        <v>2875</v>
      </c>
    </row>
    <row r="2469" spans="1:3" x14ac:dyDescent="0.3">
      <c r="A2469" s="426">
        <v>42843</v>
      </c>
      <c r="B2469">
        <v>1220.6400000000001</v>
      </c>
      <c r="C2469" t="s">
        <v>2876</v>
      </c>
    </row>
    <row r="2470" spans="1:3" x14ac:dyDescent="0.3">
      <c r="A2470" s="426">
        <v>42844</v>
      </c>
      <c r="B2470">
        <v>1212.68</v>
      </c>
      <c r="C2470" t="s">
        <v>2877</v>
      </c>
    </row>
    <row r="2471" spans="1:3" x14ac:dyDescent="0.3">
      <c r="A2471" s="426">
        <v>42845</v>
      </c>
      <c r="B2471">
        <v>1226.44</v>
      </c>
      <c r="C2471" t="s">
        <v>2878</v>
      </c>
    </row>
    <row r="2472" spans="1:3" x14ac:dyDescent="0.3">
      <c r="A2472" s="426">
        <v>42846</v>
      </c>
      <c r="B2472">
        <v>1245.06</v>
      </c>
      <c r="C2472" t="s">
        <v>2879</v>
      </c>
    </row>
    <row r="2473" spans="1:3" x14ac:dyDescent="0.3">
      <c r="A2473" s="426">
        <v>42847</v>
      </c>
      <c r="B2473">
        <v>1241.08</v>
      </c>
      <c r="C2473" t="s">
        <v>2880</v>
      </c>
    </row>
    <row r="2474" spans="1:3" x14ac:dyDescent="0.3">
      <c r="A2474" s="426">
        <v>42848</v>
      </c>
      <c r="B2474">
        <v>1242.72</v>
      </c>
      <c r="C2474" t="s">
        <v>2881</v>
      </c>
    </row>
    <row r="2475" spans="1:3" x14ac:dyDescent="0.3">
      <c r="A2475" s="426">
        <v>42849</v>
      </c>
      <c r="B2475">
        <v>1249.7</v>
      </c>
      <c r="C2475" t="s">
        <v>2882</v>
      </c>
    </row>
    <row r="2476" spans="1:3" x14ac:dyDescent="0.3">
      <c r="A2476" s="426">
        <v>42850</v>
      </c>
      <c r="B2476">
        <v>1268.58</v>
      </c>
      <c r="C2476" t="s">
        <v>2883</v>
      </c>
    </row>
    <row r="2477" spans="1:3" x14ac:dyDescent="0.3">
      <c r="A2477" s="426">
        <v>42851</v>
      </c>
      <c r="B2477">
        <v>1288.21</v>
      </c>
      <c r="C2477" t="s">
        <v>2884</v>
      </c>
    </row>
    <row r="2478" spans="1:3" x14ac:dyDescent="0.3">
      <c r="A2478" s="426">
        <v>42852</v>
      </c>
      <c r="B2478">
        <v>1308.1300000000001</v>
      </c>
      <c r="C2478" t="s">
        <v>2885</v>
      </c>
    </row>
    <row r="2479" spans="1:3" x14ac:dyDescent="0.3">
      <c r="A2479" s="426">
        <v>42853</v>
      </c>
      <c r="B2479">
        <v>1312.56</v>
      </c>
      <c r="C2479" t="s">
        <v>2886</v>
      </c>
    </row>
    <row r="2480" spans="1:3" x14ac:dyDescent="0.3">
      <c r="A2480" s="426">
        <v>42854</v>
      </c>
      <c r="B2480">
        <v>1332.61</v>
      </c>
      <c r="C2480" t="s">
        <v>2887</v>
      </c>
    </row>
    <row r="2481" spans="1:3" x14ac:dyDescent="0.3">
      <c r="A2481" s="426">
        <v>42855</v>
      </c>
      <c r="B2481">
        <v>1331.06</v>
      </c>
      <c r="C2481" t="s">
        <v>2888</v>
      </c>
    </row>
    <row r="2482" spans="1:3" x14ac:dyDescent="0.3">
      <c r="A2482" s="426">
        <v>42856</v>
      </c>
      <c r="B2482">
        <v>1378.37</v>
      </c>
      <c r="C2482" t="s">
        <v>2889</v>
      </c>
    </row>
    <row r="2483" spans="1:3" x14ac:dyDescent="0.3">
      <c r="A2483" s="426">
        <v>42857</v>
      </c>
      <c r="B2483">
        <v>1440.51</v>
      </c>
      <c r="C2483" t="s">
        <v>2890</v>
      </c>
    </row>
    <row r="2484" spans="1:3" x14ac:dyDescent="0.3">
      <c r="A2484" s="426">
        <v>42858</v>
      </c>
      <c r="B2484">
        <v>1469.56</v>
      </c>
      <c r="C2484" t="s">
        <v>2891</v>
      </c>
    </row>
    <row r="2485" spans="1:3" x14ac:dyDescent="0.3">
      <c r="A2485" s="426">
        <v>42859</v>
      </c>
      <c r="B2485">
        <v>1542.51</v>
      </c>
      <c r="C2485" t="s">
        <v>2892</v>
      </c>
    </row>
    <row r="2486" spans="1:3" x14ac:dyDescent="0.3">
      <c r="A2486" s="426">
        <v>42860</v>
      </c>
      <c r="B2486">
        <v>1565.87</v>
      </c>
      <c r="C2486" t="s">
        <v>2893</v>
      </c>
    </row>
    <row r="2487" spans="1:3" x14ac:dyDescent="0.3">
      <c r="A2487" s="426">
        <v>42861</v>
      </c>
      <c r="B2487">
        <v>1548.91</v>
      </c>
      <c r="C2487" t="s">
        <v>2894</v>
      </c>
    </row>
    <row r="2488" spans="1:3" x14ac:dyDescent="0.3">
      <c r="A2488" s="426">
        <v>42862</v>
      </c>
      <c r="B2488">
        <v>1553.87</v>
      </c>
      <c r="C2488" t="s">
        <v>2895</v>
      </c>
    </row>
    <row r="2489" spans="1:3" x14ac:dyDescent="0.3">
      <c r="A2489" s="426">
        <v>42863</v>
      </c>
      <c r="B2489">
        <v>1611.02</v>
      </c>
      <c r="C2489" t="s">
        <v>2896</v>
      </c>
    </row>
    <row r="2490" spans="1:3" x14ac:dyDescent="0.3">
      <c r="A2490" s="426">
        <v>42864</v>
      </c>
      <c r="B2490">
        <v>1710.42</v>
      </c>
      <c r="C2490" t="s">
        <v>2897</v>
      </c>
    </row>
    <row r="2491" spans="1:3" x14ac:dyDescent="0.3">
      <c r="A2491" s="426">
        <v>42865</v>
      </c>
      <c r="B2491">
        <v>1744.77</v>
      </c>
      <c r="C2491" t="s">
        <v>2898</v>
      </c>
    </row>
    <row r="2492" spans="1:3" x14ac:dyDescent="0.3">
      <c r="A2492" s="426">
        <v>42866</v>
      </c>
      <c r="B2492">
        <v>1825.79</v>
      </c>
      <c r="C2492" t="s">
        <v>2899</v>
      </c>
    </row>
    <row r="2493" spans="1:3" x14ac:dyDescent="0.3">
      <c r="A2493" s="426">
        <v>42867</v>
      </c>
      <c r="B2493">
        <v>1778.48</v>
      </c>
      <c r="C2493" t="s">
        <v>2900</v>
      </c>
    </row>
    <row r="2494" spans="1:3" x14ac:dyDescent="0.3">
      <c r="A2494" s="426">
        <v>42868</v>
      </c>
      <c r="B2494">
        <v>1721.29</v>
      </c>
      <c r="C2494" t="s">
        <v>2901</v>
      </c>
    </row>
    <row r="2495" spans="1:3" x14ac:dyDescent="0.3">
      <c r="A2495" s="426">
        <v>42869</v>
      </c>
      <c r="B2495">
        <v>1791.43</v>
      </c>
      <c r="C2495" t="s">
        <v>2902</v>
      </c>
    </row>
    <row r="2496" spans="1:3" x14ac:dyDescent="0.3">
      <c r="A2496" s="426">
        <v>42870</v>
      </c>
      <c r="B2496">
        <v>1751.56</v>
      </c>
      <c r="C2496" t="s">
        <v>2903</v>
      </c>
    </row>
    <row r="2497" spans="1:3" x14ac:dyDescent="0.3">
      <c r="A2497" s="426">
        <v>42871</v>
      </c>
      <c r="B2497">
        <v>1738.15</v>
      </c>
      <c r="C2497" t="s">
        <v>2904</v>
      </c>
    </row>
    <row r="2498" spans="1:3" x14ac:dyDescent="0.3">
      <c r="A2498" s="426">
        <v>42872</v>
      </c>
      <c r="B2498">
        <v>1813.69</v>
      </c>
      <c r="C2498" t="s">
        <v>2905</v>
      </c>
    </row>
    <row r="2499" spans="1:3" x14ac:dyDescent="0.3">
      <c r="A2499" s="426">
        <v>42873</v>
      </c>
      <c r="B2499">
        <v>1843.65</v>
      </c>
      <c r="C2499" t="s">
        <v>2906</v>
      </c>
    </row>
    <row r="2500" spans="1:3" x14ac:dyDescent="0.3">
      <c r="A2500" s="426">
        <v>42874</v>
      </c>
      <c r="B2500">
        <v>1926.11</v>
      </c>
      <c r="C2500" t="s">
        <v>2907</v>
      </c>
    </row>
    <row r="2501" spans="1:3" x14ac:dyDescent="0.3">
      <c r="A2501" s="426">
        <v>42875</v>
      </c>
      <c r="B2501">
        <v>1984.76</v>
      </c>
      <c r="C2501" t="s">
        <v>2908</v>
      </c>
    </row>
    <row r="2502" spans="1:3" x14ac:dyDescent="0.3">
      <c r="A2502" s="426">
        <v>42876</v>
      </c>
      <c r="B2502">
        <v>2033.16</v>
      </c>
      <c r="C2502" t="s">
        <v>2909</v>
      </c>
    </row>
    <row r="2503" spans="1:3" x14ac:dyDescent="0.3">
      <c r="A2503" s="426">
        <v>42877</v>
      </c>
      <c r="B2503">
        <v>2126.81</v>
      </c>
      <c r="C2503" t="s">
        <v>2910</v>
      </c>
    </row>
    <row r="2504" spans="1:3" x14ac:dyDescent="0.3">
      <c r="A2504" s="426">
        <v>42878</v>
      </c>
      <c r="B2504">
        <v>2198.89</v>
      </c>
      <c r="C2504" t="s">
        <v>2911</v>
      </c>
    </row>
    <row r="2505" spans="1:3" x14ac:dyDescent="0.3">
      <c r="A2505" s="426">
        <v>42879</v>
      </c>
      <c r="B2505">
        <v>2369.29</v>
      </c>
      <c r="C2505" t="s">
        <v>2912</v>
      </c>
    </row>
    <row r="2506" spans="1:3" x14ac:dyDescent="0.3">
      <c r="A2506" s="426">
        <v>42880</v>
      </c>
      <c r="B2506">
        <v>2558.1</v>
      </c>
      <c r="C2506" t="s">
        <v>2913</v>
      </c>
    </row>
    <row r="2507" spans="1:3" x14ac:dyDescent="0.3">
      <c r="A2507" s="426">
        <v>42881</v>
      </c>
      <c r="B2507">
        <v>2395.7399999999998</v>
      </c>
      <c r="C2507" t="s">
        <v>2914</v>
      </c>
    </row>
    <row r="2508" spans="1:3" x14ac:dyDescent="0.3">
      <c r="A2508" s="426">
        <v>42882</v>
      </c>
      <c r="B2508">
        <v>2091.5300000000002</v>
      </c>
      <c r="C2508" t="s">
        <v>2915</v>
      </c>
    </row>
    <row r="2509" spans="1:3" x14ac:dyDescent="0.3">
      <c r="A2509" s="426">
        <v>42883</v>
      </c>
      <c r="B2509">
        <v>2177.2399999999998</v>
      </c>
      <c r="C2509" t="s">
        <v>2916</v>
      </c>
    </row>
    <row r="2510" spans="1:3" x14ac:dyDescent="0.3">
      <c r="A2510" s="426">
        <v>42884</v>
      </c>
      <c r="B2510">
        <v>2234.21</v>
      </c>
      <c r="C2510" t="s">
        <v>2917</v>
      </c>
    </row>
    <row r="2511" spans="1:3" x14ac:dyDescent="0.3">
      <c r="A2511" s="426">
        <v>42885</v>
      </c>
      <c r="B2511">
        <v>2281.2600000000002</v>
      </c>
      <c r="C2511" t="s">
        <v>2918</v>
      </c>
    </row>
    <row r="2512" spans="1:3" x14ac:dyDescent="0.3">
      <c r="A2512" s="426">
        <v>42886</v>
      </c>
      <c r="B2512">
        <v>2253.65</v>
      </c>
      <c r="C2512" t="s">
        <v>2919</v>
      </c>
    </row>
    <row r="2513" spans="1:3" x14ac:dyDescent="0.3">
      <c r="A2513" s="426">
        <v>42887</v>
      </c>
      <c r="B2513">
        <v>2389.02</v>
      </c>
      <c r="C2513" t="s">
        <v>2920</v>
      </c>
    </row>
    <row r="2514" spans="1:3" x14ac:dyDescent="0.3">
      <c r="A2514" s="426">
        <v>42888</v>
      </c>
      <c r="B2514">
        <v>2427.38</v>
      </c>
      <c r="C2514" t="s">
        <v>2921</v>
      </c>
    </row>
    <row r="2515" spans="1:3" x14ac:dyDescent="0.3">
      <c r="A2515" s="426">
        <v>42889</v>
      </c>
      <c r="B2515">
        <v>2519.8000000000002</v>
      </c>
      <c r="C2515" t="s">
        <v>2922</v>
      </c>
    </row>
    <row r="2516" spans="1:3" x14ac:dyDescent="0.3">
      <c r="A2516" s="426">
        <v>42890</v>
      </c>
      <c r="B2516">
        <v>2527.4</v>
      </c>
      <c r="C2516" t="s">
        <v>2923</v>
      </c>
    </row>
    <row r="2517" spans="1:3" x14ac:dyDescent="0.3">
      <c r="A2517" s="426">
        <v>42891</v>
      </c>
      <c r="B2517">
        <v>2594.48</v>
      </c>
      <c r="C2517" t="s">
        <v>2924</v>
      </c>
    </row>
    <row r="2518" spans="1:3" x14ac:dyDescent="0.3">
      <c r="A2518" s="426">
        <v>42892</v>
      </c>
      <c r="B2518">
        <v>2828.04</v>
      </c>
      <c r="C2518" t="s">
        <v>2925</v>
      </c>
    </row>
    <row r="2519" spans="1:3" x14ac:dyDescent="0.3">
      <c r="A2519" s="426">
        <v>42893</v>
      </c>
      <c r="B2519">
        <v>2817.71</v>
      </c>
      <c r="C2519" t="s">
        <v>2926</v>
      </c>
    </row>
    <row r="2520" spans="1:3" x14ac:dyDescent="0.3">
      <c r="A2520" s="426">
        <v>42894</v>
      </c>
      <c r="B2520">
        <v>2758.31</v>
      </c>
      <c r="C2520" t="s">
        <v>2927</v>
      </c>
    </row>
    <row r="2521" spans="1:3" x14ac:dyDescent="0.3">
      <c r="A2521" s="426">
        <v>42895</v>
      </c>
      <c r="B2521">
        <v>2821.85</v>
      </c>
      <c r="C2521" t="s">
        <v>2928</v>
      </c>
    </row>
    <row r="2522" spans="1:3" x14ac:dyDescent="0.3">
      <c r="A2522" s="426">
        <v>42896</v>
      </c>
      <c r="B2522">
        <v>2852.1</v>
      </c>
      <c r="C2522" t="s">
        <v>2929</v>
      </c>
    </row>
    <row r="2523" spans="1:3" x14ac:dyDescent="0.3">
      <c r="A2523" s="426">
        <v>42897</v>
      </c>
      <c r="B2523">
        <v>2895.02</v>
      </c>
      <c r="C2523" t="s">
        <v>2930</v>
      </c>
    </row>
    <row r="2524" spans="1:3" x14ac:dyDescent="0.3">
      <c r="A2524" s="426">
        <v>42898</v>
      </c>
      <c r="B2524">
        <v>2799.56</v>
      </c>
      <c r="C2524" t="s">
        <v>2931</v>
      </c>
    </row>
    <row r="2525" spans="1:3" x14ac:dyDescent="0.3">
      <c r="A2525" s="426">
        <v>42899</v>
      </c>
      <c r="B2525">
        <v>2717.01</v>
      </c>
      <c r="C2525" t="s">
        <v>2932</v>
      </c>
    </row>
    <row r="2526" spans="1:3" x14ac:dyDescent="0.3">
      <c r="A2526" s="426">
        <v>42900</v>
      </c>
      <c r="B2526">
        <v>2669.21</v>
      </c>
      <c r="C2526" t="s">
        <v>2933</v>
      </c>
    </row>
    <row r="2527" spans="1:3" x14ac:dyDescent="0.3">
      <c r="A2527" s="426">
        <v>42901</v>
      </c>
      <c r="B2527">
        <v>2378.29</v>
      </c>
      <c r="C2527" t="s">
        <v>2934</v>
      </c>
    </row>
    <row r="2528" spans="1:3" x14ac:dyDescent="0.3">
      <c r="A2528" s="426">
        <v>42902</v>
      </c>
      <c r="B2528">
        <v>2462.7600000000002</v>
      </c>
      <c r="C2528" t="s">
        <v>2935</v>
      </c>
    </row>
    <row r="2529" spans="1:3" x14ac:dyDescent="0.3">
      <c r="A2529" s="426">
        <v>42903</v>
      </c>
      <c r="B2529">
        <v>2559.6999999999998</v>
      </c>
      <c r="C2529" t="s">
        <v>2936</v>
      </c>
    </row>
    <row r="2530" spans="1:3" x14ac:dyDescent="0.3">
      <c r="A2530" s="426">
        <v>42904</v>
      </c>
      <c r="B2530">
        <v>2568.0700000000002</v>
      </c>
      <c r="C2530" t="s">
        <v>2937</v>
      </c>
    </row>
    <row r="2531" spans="1:3" x14ac:dyDescent="0.3">
      <c r="A2531" s="426">
        <v>42905</v>
      </c>
      <c r="B2531">
        <v>2551.4699999999998</v>
      </c>
      <c r="C2531" t="s">
        <v>2938</v>
      </c>
    </row>
    <row r="2532" spans="1:3" x14ac:dyDescent="0.3">
      <c r="A2532" s="426">
        <v>42906</v>
      </c>
      <c r="B2532">
        <v>2648.65</v>
      </c>
      <c r="C2532" t="s">
        <v>2939</v>
      </c>
    </row>
    <row r="2533" spans="1:3" x14ac:dyDescent="0.3">
      <c r="A2533" s="426">
        <v>42907</v>
      </c>
      <c r="B2533">
        <v>2700.63</v>
      </c>
      <c r="C2533" t="s">
        <v>2940</v>
      </c>
    </row>
    <row r="2534" spans="1:3" x14ac:dyDescent="0.3">
      <c r="A2534" s="426">
        <v>42908</v>
      </c>
      <c r="B2534">
        <v>2674.57</v>
      </c>
      <c r="C2534" t="s">
        <v>2941</v>
      </c>
    </row>
    <row r="2535" spans="1:3" x14ac:dyDescent="0.3">
      <c r="A2535" s="426">
        <v>42909</v>
      </c>
      <c r="B2535">
        <v>2706.82</v>
      </c>
      <c r="C2535" t="s">
        <v>2942</v>
      </c>
    </row>
    <row r="2536" spans="1:3" x14ac:dyDescent="0.3">
      <c r="A2536" s="426">
        <v>42910</v>
      </c>
      <c r="B2536">
        <v>2659.43</v>
      </c>
      <c r="C2536" t="s">
        <v>2943</v>
      </c>
    </row>
    <row r="2537" spans="1:3" x14ac:dyDescent="0.3">
      <c r="A2537" s="426">
        <v>42911</v>
      </c>
      <c r="B2537">
        <v>2565.19</v>
      </c>
      <c r="C2537" t="s">
        <v>2944</v>
      </c>
    </row>
    <row r="2538" spans="1:3" x14ac:dyDescent="0.3">
      <c r="A2538" s="426">
        <v>42912</v>
      </c>
      <c r="B2538">
        <v>2453.69</v>
      </c>
      <c r="C2538" t="s">
        <v>2945</v>
      </c>
    </row>
    <row r="2539" spans="1:3" x14ac:dyDescent="0.3">
      <c r="A2539" s="426">
        <v>42913</v>
      </c>
      <c r="B2539">
        <v>2396.7800000000002</v>
      </c>
      <c r="C2539" t="s">
        <v>2946</v>
      </c>
    </row>
    <row r="2540" spans="1:3" x14ac:dyDescent="0.3">
      <c r="A2540" s="426">
        <v>42914</v>
      </c>
      <c r="B2540">
        <v>2529.75</v>
      </c>
      <c r="C2540" t="s">
        <v>2947</v>
      </c>
    </row>
    <row r="2541" spans="1:3" x14ac:dyDescent="0.3">
      <c r="A2541" s="426">
        <v>42915</v>
      </c>
      <c r="B2541">
        <v>2556.11</v>
      </c>
      <c r="C2541" t="s">
        <v>2948</v>
      </c>
    </row>
    <row r="2542" spans="1:3" x14ac:dyDescent="0.3">
      <c r="A2542" s="426">
        <v>42916</v>
      </c>
      <c r="B2542">
        <v>2519.27</v>
      </c>
      <c r="C2542" t="s">
        <v>2949</v>
      </c>
    </row>
    <row r="2543" spans="1:3" x14ac:dyDescent="0.3">
      <c r="A2543" s="426">
        <v>42917</v>
      </c>
      <c r="B2543">
        <v>2458.14</v>
      </c>
      <c r="C2543" t="s">
        <v>2950</v>
      </c>
    </row>
    <row r="2544" spans="1:3" x14ac:dyDescent="0.3">
      <c r="A2544" s="426">
        <v>42918</v>
      </c>
      <c r="B2544">
        <v>2444.33</v>
      </c>
      <c r="C2544" t="s">
        <v>2951</v>
      </c>
    </row>
    <row r="2545" spans="1:3" x14ac:dyDescent="0.3">
      <c r="A2545" s="426">
        <v>42919</v>
      </c>
      <c r="B2545">
        <v>2521.7600000000002</v>
      </c>
      <c r="C2545" t="s">
        <v>2952</v>
      </c>
    </row>
    <row r="2546" spans="1:3" x14ac:dyDescent="0.3">
      <c r="A2546" s="426">
        <v>42920</v>
      </c>
      <c r="B2546">
        <v>2596.4</v>
      </c>
      <c r="C2546" t="s">
        <v>2953</v>
      </c>
    </row>
    <row r="2547" spans="1:3" x14ac:dyDescent="0.3">
      <c r="A2547" s="426">
        <v>42921</v>
      </c>
      <c r="B2547">
        <v>2575.83</v>
      </c>
      <c r="C2547" t="s">
        <v>2954</v>
      </c>
    </row>
    <row r="2548" spans="1:3" x14ac:dyDescent="0.3">
      <c r="A2548" s="426">
        <v>42922</v>
      </c>
      <c r="B2548">
        <v>2598.4</v>
      </c>
      <c r="C2548" t="s">
        <v>2955</v>
      </c>
    </row>
    <row r="2549" spans="1:3" x14ac:dyDescent="0.3">
      <c r="A2549" s="426">
        <v>42923</v>
      </c>
      <c r="B2549">
        <v>2548.48</v>
      </c>
      <c r="C2549" t="s">
        <v>2956</v>
      </c>
    </row>
    <row r="2550" spans="1:3" x14ac:dyDescent="0.3">
      <c r="A2550" s="426">
        <v>42924</v>
      </c>
      <c r="B2550">
        <v>2517.65</v>
      </c>
      <c r="C2550" t="s">
        <v>2957</v>
      </c>
    </row>
    <row r="2551" spans="1:3" x14ac:dyDescent="0.3">
      <c r="A2551" s="426">
        <v>42925</v>
      </c>
      <c r="B2551">
        <v>2543.8000000000002</v>
      </c>
      <c r="C2551" t="s">
        <v>2958</v>
      </c>
    </row>
    <row r="2552" spans="1:3" x14ac:dyDescent="0.3">
      <c r="A2552" s="426">
        <v>42926</v>
      </c>
      <c r="B2552">
        <v>2456.0500000000002</v>
      </c>
      <c r="C2552" t="s">
        <v>2959</v>
      </c>
    </row>
    <row r="2553" spans="1:3" x14ac:dyDescent="0.3">
      <c r="A2553" s="426">
        <v>42927</v>
      </c>
      <c r="B2553">
        <v>2343.23</v>
      </c>
      <c r="C2553" t="s">
        <v>2960</v>
      </c>
    </row>
    <row r="2554" spans="1:3" x14ac:dyDescent="0.3">
      <c r="A2554" s="426">
        <v>42928</v>
      </c>
      <c r="B2554">
        <v>2344.9</v>
      </c>
      <c r="C2554" t="s">
        <v>2961</v>
      </c>
    </row>
    <row r="2555" spans="1:3" x14ac:dyDescent="0.3">
      <c r="A2555" s="426">
        <v>42929</v>
      </c>
      <c r="B2555">
        <v>2369.2600000000002</v>
      </c>
      <c r="C2555" t="s">
        <v>2962</v>
      </c>
    </row>
    <row r="2556" spans="1:3" x14ac:dyDescent="0.3">
      <c r="A2556" s="426">
        <v>42930</v>
      </c>
      <c r="B2556">
        <v>2279.88</v>
      </c>
      <c r="C2556" t="s">
        <v>2963</v>
      </c>
    </row>
    <row r="2557" spans="1:3" x14ac:dyDescent="0.3">
      <c r="A2557" s="426">
        <v>42931</v>
      </c>
      <c r="B2557">
        <v>2077.38</v>
      </c>
      <c r="C2557" t="s">
        <v>2964</v>
      </c>
    </row>
    <row r="2558" spans="1:3" x14ac:dyDescent="0.3">
      <c r="A2558" s="426">
        <v>42932</v>
      </c>
      <c r="B2558">
        <v>1934.91</v>
      </c>
      <c r="C2558" t="s">
        <v>2965</v>
      </c>
    </row>
    <row r="2559" spans="1:3" x14ac:dyDescent="0.3">
      <c r="A2559" s="426">
        <v>42933</v>
      </c>
      <c r="B2559">
        <v>2054.81</v>
      </c>
      <c r="C2559" t="s">
        <v>2966</v>
      </c>
    </row>
    <row r="2560" spans="1:3" x14ac:dyDescent="0.3">
      <c r="A2560" s="426">
        <v>42934</v>
      </c>
      <c r="B2560">
        <v>2276.7199999999998</v>
      </c>
      <c r="C2560" t="s">
        <v>2967</v>
      </c>
    </row>
    <row r="2561" spans="1:3" x14ac:dyDescent="0.3">
      <c r="A2561" s="426">
        <v>42935</v>
      </c>
      <c r="B2561">
        <v>2314.7399999999998</v>
      </c>
      <c r="C2561" t="s">
        <v>2968</v>
      </c>
    </row>
    <row r="2562" spans="1:3" x14ac:dyDescent="0.3">
      <c r="A2562" s="426">
        <v>42936</v>
      </c>
      <c r="B2562">
        <v>2485.34</v>
      </c>
      <c r="C2562" t="s">
        <v>2969</v>
      </c>
    </row>
    <row r="2563" spans="1:3" x14ac:dyDescent="0.3">
      <c r="A2563" s="426">
        <v>42937</v>
      </c>
      <c r="B2563">
        <v>2715.12</v>
      </c>
      <c r="C2563" t="s">
        <v>2970</v>
      </c>
    </row>
    <row r="2564" spans="1:3" x14ac:dyDescent="0.3">
      <c r="A2564" s="426">
        <v>42938</v>
      </c>
      <c r="B2564">
        <v>2773.57</v>
      </c>
      <c r="C2564" t="s">
        <v>2971</v>
      </c>
    </row>
    <row r="2565" spans="1:3" x14ac:dyDescent="0.3">
      <c r="A2565" s="426">
        <v>42939</v>
      </c>
      <c r="B2565">
        <v>2770.23</v>
      </c>
      <c r="C2565" t="s">
        <v>2972</v>
      </c>
    </row>
    <row r="2566" spans="1:3" x14ac:dyDescent="0.3">
      <c r="A2566" s="426">
        <v>42940</v>
      </c>
      <c r="B2566">
        <v>2755.36</v>
      </c>
      <c r="C2566" t="s">
        <v>2973</v>
      </c>
    </row>
    <row r="2567" spans="1:3" x14ac:dyDescent="0.3">
      <c r="A2567" s="426">
        <v>42941</v>
      </c>
      <c r="B2567">
        <v>2627.01</v>
      </c>
      <c r="C2567" t="s">
        <v>2974</v>
      </c>
    </row>
    <row r="2568" spans="1:3" x14ac:dyDescent="0.3">
      <c r="A2568" s="426">
        <v>42942</v>
      </c>
      <c r="B2568">
        <v>2507.58</v>
      </c>
      <c r="C2568" t="s">
        <v>2975</v>
      </c>
    </row>
    <row r="2569" spans="1:3" x14ac:dyDescent="0.3">
      <c r="A2569" s="426">
        <v>42943</v>
      </c>
      <c r="B2569">
        <v>2576.2399999999998</v>
      </c>
      <c r="C2569" t="s">
        <v>2976</v>
      </c>
    </row>
    <row r="2570" spans="1:3" x14ac:dyDescent="0.3">
      <c r="A2570" s="426">
        <v>42944</v>
      </c>
      <c r="B2570">
        <v>2745.22</v>
      </c>
      <c r="C2570" t="s">
        <v>2977</v>
      </c>
    </row>
    <row r="2571" spans="1:3" x14ac:dyDescent="0.3">
      <c r="A2571" s="426">
        <v>42945</v>
      </c>
      <c r="B2571">
        <v>2729.99</v>
      </c>
      <c r="C2571" t="s">
        <v>2978</v>
      </c>
    </row>
    <row r="2572" spans="1:3" x14ac:dyDescent="0.3">
      <c r="A2572" s="426">
        <v>42946</v>
      </c>
      <c r="B2572">
        <v>2705.64</v>
      </c>
      <c r="C2572" t="s">
        <v>2979</v>
      </c>
    </row>
    <row r="2573" spans="1:3" x14ac:dyDescent="0.3">
      <c r="A2573" s="426">
        <v>42947</v>
      </c>
      <c r="B2573">
        <v>2787.33</v>
      </c>
      <c r="C2573" t="s">
        <v>2980</v>
      </c>
    </row>
    <row r="2574" spans="1:3" x14ac:dyDescent="0.3">
      <c r="A2574" s="426">
        <v>42948</v>
      </c>
      <c r="B2574">
        <v>2796.22</v>
      </c>
      <c r="C2574" t="s">
        <v>2981</v>
      </c>
    </row>
    <row r="2575" spans="1:3" x14ac:dyDescent="0.3">
      <c r="A2575" s="426">
        <v>42949</v>
      </c>
      <c r="B2575">
        <v>2723.7</v>
      </c>
      <c r="C2575" t="s">
        <v>2982</v>
      </c>
    </row>
    <row r="2576" spans="1:3" x14ac:dyDescent="0.3">
      <c r="A2576" s="426">
        <v>42950</v>
      </c>
      <c r="B2576">
        <v>2759.01</v>
      </c>
      <c r="C2576" t="s">
        <v>2983</v>
      </c>
    </row>
    <row r="2577" spans="1:3" x14ac:dyDescent="0.3">
      <c r="A2577" s="426">
        <v>42951</v>
      </c>
      <c r="B2577">
        <v>2832.82</v>
      </c>
      <c r="C2577" t="s">
        <v>2984</v>
      </c>
    </row>
    <row r="2578" spans="1:3" x14ac:dyDescent="0.3">
      <c r="A2578" s="426">
        <v>42952</v>
      </c>
      <c r="B2578">
        <v>3140.74</v>
      </c>
      <c r="C2578" t="s">
        <v>2985</v>
      </c>
    </row>
    <row r="2579" spans="1:3" x14ac:dyDescent="0.3">
      <c r="A2579" s="426">
        <v>42953</v>
      </c>
      <c r="B2579">
        <v>3224.24</v>
      </c>
      <c r="C2579" t="s">
        <v>2986</v>
      </c>
    </row>
    <row r="2580" spans="1:3" x14ac:dyDescent="0.3">
      <c r="A2580" s="426">
        <v>42954</v>
      </c>
      <c r="B2580">
        <v>3303.19</v>
      </c>
      <c r="C2580" t="s">
        <v>2987</v>
      </c>
    </row>
    <row r="2581" spans="1:3" x14ac:dyDescent="0.3">
      <c r="A2581" s="426">
        <v>42955</v>
      </c>
      <c r="B2581">
        <v>3423.79</v>
      </c>
      <c r="C2581" t="s">
        <v>2988</v>
      </c>
    </row>
    <row r="2582" spans="1:3" x14ac:dyDescent="0.3">
      <c r="A2582" s="426">
        <v>42956</v>
      </c>
      <c r="B2582">
        <v>3357.67</v>
      </c>
      <c r="C2582" t="s">
        <v>2989</v>
      </c>
    </row>
    <row r="2583" spans="1:3" x14ac:dyDescent="0.3">
      <c r="A2583" s="426">
        <v>42957</v>
      </c>
      <c r="B2583">
        <v>3405.78</v>
      </c>
      <c r="C2583" t="s">
        <v>2990</v>
      </c>
    </row>
    <row r="2584" spans="1:3" x14ac:dyDescent="0.3">
      <c r="A2584" s="426">
        <v>42958</v>
      </c>
      <c r="B2584">
        <v>3524.95</v>
      </c>
      <c r="C2584" t="s">
        <v>2991</v>
      </c>
    </row>
    <row r="2585" spans="1:3" x14ac:dyDescent="0.3">
      <c r="A2585" s="426">
        <v>42959</v>
      </c>
      <c r="B2585">
        <v>3786.2</v>
      </c>
      <c r="C2585" t="s">
        <v>2992</v>
      </c>
    </row>
    <row r="2586" spans="1:3" x14ac:dyDescent="0.3">
      <c r="A2586" s="426">
        <v>42960</v>
      </c>
      <c r="B2586">
        <v>4038.15</v>
      </c>
      <c r="C2586" t="s">
        <v>2993</v>
      </c>
    </row>
    <row r="2587" spans="1:3" x14ac:dyDescent="0.3">
      <c r="A2587" s="426">
        <v>42961</v>
      </c>
      <c r="B2587">
        <v>4186.1099999999997</v>
      </c>
      <c r="C2587" t="s">
        <v>2994</v>
      </c>
    </row>
    <row r="2588" spans="1:3" x14ac:dyDescent="0.3">
      <c r="A2588" s="426">
        <v>42962</v>
      </c>
      <c r="B2588">
        <v>4186.16</v>
      </c>
      <c r="C2588" t="s">
        <v>2995</v>
      </c>
    </row>
    <row r="2589" spans="1:3" x14ac:dyDescent="0.3">
      <c r="A2589" s="426">
        <v>42963</v>
      </c>
      <c r="B2589">
        <v>4181.12</v>
      </c>
      <c r="C2589" t="s">
        <v>2996</v>
      </c>
    </row>
    <row r="2590" spans="1:3" x14ac:dyDescent="0.3">
      <c r="A2590" s="426">
        <v>42964</v>
      </c>
      <c r="B2590">
        <v>4357.95</v>
      </c>
      <c r="C2590" t="s">
        <v>2997</v>
      </c>
    </row>
    <row r="2591" spans="1:3" x14ac:dyDescent="0.3">
      <c r="A2591" s="426">
        <v>42965</v>
      </c>
      <c r="B2591">
        <v>4236.7299999999996</v>
      </c>
      <c r="C2591" t="s">
        <v>2998</v>
      </c>
    </row>
    <row r="2592" spans="1:3" x14ac:dyDescent="0.3">
      <c r="A2592" s="426">
        <v>42966</v>
      </c>
      <c r="B2592">
        <v>4092.36</v>
      </c>
      <c r="C2592" t="s">
        <v>2999</v>
      </c>
    </row>
    <row r="2593" spans="1:3" x14ac:dyDescent="0.3">
      <c r="A2593" s="426">
        <v>42967</v>
      </c>
      <c r="B2593">
        <v>4106.8</v>
      </c>
      <c r="C2593" t="s">
        <v>3000</v>
      </c>
    </row>
    <row r="2594" spans="1:3" x14ac:dyDescent="0.3">
      <c r="A2594" s="426">
        <v>42968</v>
      </c>
      <c r="B2594">
        <v>4037.95</v>
      </c>
      <c r="C2594" t="s">
        <v>3001</v>
      </c>
    </row>
    <row r="2595" spans="1:3" x14ac:dyDescent="0.3">
      <c r="A2595" s="426">
        <v>42969</v>
      </c>
      <c r="B2595">
        <v>3937.33</v>
      </c>
      <c r="C2595" t="s">
        <v>3002</v>
      </c>
    </row>
    <row r="2596" spans="1:3" x14ac:dyDescent="0.3">
      <c r="A2596" s="426">
        <v>42970</v>
      </c>
      <c r="B2596">
        <v>4159.3</v>
      </c>
      <c r="C2596" t="s">
        <v>3003</v>
      </c>
    </row>
    <row r="2597" spans="1:3" x14ac:dyDescent="0.3">
      <c r="A2597" s="426">
        <v>42971</v>
      </c>
      <c r="B2597">
        <v>4205.17</v>
      </c>
      <c r="C2597" t="s">
        <v>3004</v>
      </c>
    </row>
    <row r="2598" spans="1:3" x14ac:dyDescent="0.3">
      <c r="A2598" s="426">
        <v>42972</v>
      </c>
      <c r="B2598">
        <v>4371.4399999999996</v>
      </c>
      <c r="C2598" t="s">
        <v>3005</v>
      </c>
    </row>
    <row r="2599" spans="1:3" x14ac:dyDescent="0.3">
      <c r="A2599" s="426">
        <v>42973</v>
      </c>
      <c r="B2599">
        <v>4327.32</v>
      </c>
      <c r="C2599" t="s">
        <v>3006</v>
      </c>
    </row>
    <row r="2600" spans="1:3" x14ac:dyDescent="0.3">
      <c r="A2600" s="426">
        <v>42974</v>
      </c>
      <c r="B2600">
        <v>4350.76</v>
      </c>
      <c r="C2600" t="s">
        <v>3007</v>
      </c>
    </row>
    <row r="2601" spans="1:3" x14ac:dyDescent="0.3">
      <c r="A2601" s="426">
        <v>42975</v>
      </c>
      <c r="B2601">
        <v>4318.87</v>
      </c>
      <c r="C2601" t="s">
        <v>3008</v>
      </c>
    </row>
    <row r="2602" spans="1:3" x14ac:dyDescent="0.3">
      <c r="A2602" s="426">
        <v>42976</v>
      </c>
      <c r="B2602">
        <v>4472.1000000000004</v>
      </c>
      <c r="C2602" t="s">
        <v>3009</v>
      </c>
    </row>
    <row r="2603" spans="1:3" x14ac:dyDescent="0.3">
      <c r="A2603" s="426">
        <v>42977</v>
      </c>
      <c r="B2603">
        <v>4586.83</v>
      </c>
      <c r="C2603" t="s">
        <v>3010</v>
      </c>
    </row>
    <row r="2604" spans="1:3" x14ac:dyDescent="0.3">
      <c r="A2604" s="426">
        <v>42978</v>
      </c>
      <c r="B2604">
        <v>4689.8599999999997</v>
      </c>
      <c r="C2604" t="s">
        <v>3011</v>
      </c>
    </row>
    <row r="2605" spans="1:3" x14ac:dyDescent="0.3">
      <c r="A2605" s="426">
        <v>42979</v>
      </c>
      <c r="B2605">
        <v>4830.7700000000004</v>
      </c>
      <c r="C2605" t="s">
        <v>3012</v>
      </c>
    </row>
    <row r="2606" spans="1:3" x14ac:dyDescent="0.3">
      <c r="A2606" s="426">
        <v>42980</v>
      </c>
      <c r="B2606">
        <v>4691.6099999999997</v>
      </c>
      <c r="C2606" t="s">
        <v>3013</v>
      </c>
    </row>
    <row r="2607" spans="1:3" x14ac:dyDescent="0.3">
      <c r="A2607" s="426">
        <v>42981</v>
      </c>
      <c r="B2607">
        <v>4606.5600000000004</v>
      </c>
      <c r="C2607" t="s">
        <v>3014</v>
      </c>
    </row>
    <row r="2608" spans="1:3" x14ac:dyDescent="0.3">
      <c r="A2608" s="426">
        <v>42982</v>
      </c>
      <c r="B2608">
        <v>4406.53</v>
      </c>
      <c r="C2608" t="s">
        <v>3015</v>
      </c>
    </row>
    <row r="2609" spans="1:3" x14ac:dyDescent="0.3">
      <c r="A2609" s="426">
        <v>42983</v>
      </c>
      <c r="B2609">
        <v>4317.53</v>
      </c>
      <c r="C2609" t="s">
        <v>3016</v>
      </c>
    </row>
    <row r="2610" spans="1:3" x14ac:dyDescent="0.3">
      <c r="A2610" s="426">
        <v>42984</v>
      </c>
      <c r="B2610">
        <v>4571.43</v>
      </c>
      <c r="C2610" t="s">
        <v>3017</v>
      </c>
    </row>
    <row r="2611" spans="1:3" x14ac:dyDescent="0.3">
      <c r="A2611" s="426">
        <v>42985</v>
      </c>
      <c r="B2611">
        <v>4608.2700000000004</v>
      </c>
      <c r="C2611" t="s">
        <v>3018</v>
      </c>
    </row>
    <row r="2612" spans="1:3" x14ac:dyDescent="0.3">
      <c r="A2612" s="426">
        <v>42986</v>
      </c>
      <c r="B2612">
        <v>4506.3500000000004</v>
      </c>
      <c r="C2612" t="s">
        <v>3019</v>
      </c>
    </row>
    <row r="2613" spans="1:3" x14ac:dyDescent="0.3">
      <c r="A2613" s="426">
        <v>42987</v>
      </c>
      <c r="B2613">
        <v>4328.8</v>
      </c>
      <c r="C2613" t="s">
        <v>3020</v>
      </c>
    </row>
    <row r="2614" spans="1:3" x14ac:dyDescent="0.3">
      <c r="A2614" s="426">
        <v>42988</v>
      </c>
      <c r="B2614">
        <v>4225.3900000000003</v>
      </c>
      <c r="C2614" t="s">
        <v>3021</v>
      </c>
    </row>
    <row r="2615" spans="1:3" x14ac:dyDescent="0.3">
      <c r="A2615" s="426">
        <v>42989</v>
      </c>
      <c r="B2615">
        <v>4240.87</v>
      </c>
      <c r="C2615" t="s">
        <v>3022</v>
      </c>
    </row>
    <row r="2616" spans="1:3" x14ac:dyDescent="0.3">
      <c r="A2616" s="426">
        <v>42990</v>
      </c>
      <c r="B2616">
        <v>4282.63</v>
      </c>
      <c r="C2616" t="s">
        <v>3023</v>
      </c>
    </row>
    <row r="2617" spans="1:3" x14ac:dyDescent="0.3">
      <c r="A2617" s="426">
        <v>42991</v>
      </c>
      <c r="B2617">
        <v>3944.73</v>
      </c>
      <c r="C2617" t="s">
        <v>3024</v>
      </c>
    </row>
    <row r="2618" spans="1:3" x14ac:dyDescent="0.3">
      <c r="A2618" s="426">
        <v>42992</v>
      </c>
      <c r="B2618">
        <v>3640.75</v>
      </c>
      <c r="C2618" t="s">
        <v>3025</v>
      </c>
    </row>
    <row r="2619" spans="1:3" x14ac:dyDescent="0.3">
      <c r="A2619" s="426">
        <v>42993</v>
      </c>
      <c r="B2619">
        <v>3433.1</v>
      </c>
      <c r="C2619" t="s">
        <v>3026</v>
      </c>
    </row>
    <row r="2620" spans="1:3" x14ac:dyDescent="0.3">
      <c r="A2620" s="426">
        <v>42994</v>
      </c>
      <c r="B2620">
        <v>3745.81</v>
      </c>
      <c r="C2620" t="s">
        <v>3027</v>
      </c>
    </row>
    <row r="2621" spans="1:3" x14ac:dyDescent="0.3">
      <c r="A2621" s="426">
        <v>42995</v>
      </c>
      <c r="B2621">
        <v>3669.81</v>
      </c>
      <c r="C2621" t="s">
        <v>3028</v>
      </c>
    </row>
    <row r="2622" spans="1:3" x14ac:dyDescent="0.3">
      <c r="A2622" s="426">
        <v>42996</v>
      </c>
      <c r="B2622">
        <v>3963.83</v>
      </c>
      <c r="C2622" t="s">
        <v>3029</v>
      </c>
    </row>
    <row r="2623" spans="1:3" x14ac:dyDescent="0.3">
      <c r="A2623" s="426">
        <v>42997</v>
      </c>
      <c r="B2623">
        <v>3978.22</v>
      </c>
      <c r="C2623" t="s">
        <v>3030</v>
      </c>
    </row>
    <row r="2624" spans="1:3" x14ac:dyDescent="0.3">
      <c r="A2624" s="426">
        <v>42998</v>
      </c>
      <c r="B2624">
        <v>3949</v>
      </c>
      <c r="C2624" t="s">
        <v>3031</v>
      </c>
    </row>
    <row r="2625" spans="1:3" x14ac:dyDescent="0.3">
      <c r="A2625" s="426">
        <v>42999</v>
      </c>
      <c r="B2625">
        <v>3795.01</v>
      </c>
      <c r="C2625" t="s">
        <v>3032</v>
      </c>
    </row>
    <row r="2626" spans="1:3" x14ac:dyDescent="0.3">
      <c r="A2626" s="426">
        <v>43000</v>
      </c>
      <c r="B2626">
        <v>3629.04</v>
      </c>
      <c r="C2626" t="s">
        <v>3033</v>
      </c>
    </row>
    <row r="2627" spans="1:3" x14ac:dyDescent="0.3">
      <c r="A2627" s="426">
        <v>43001</v>
      </c>
      <c r="B2627">
        <v>3726.96</v>
      </c>
      <c r="C2627" t="s">
        <v>3034</v>
      </c>
    </row>
    <row r="2628" spans="1:3" x14ac:dyDescent="0.3">
      <c r="A2628" s="426">
        <v>43002</v>
      </c>
      <c r="B2628">
        <v>3703.95</v>
      </c>
      <c r="C2628" t="s">
        <v>3035</v>
      </c>
    </row>
    <row r="2629" spans="1:3" x14ac:dyDescent="0.3">
      <c r="A2629" s="426">
        <v>43003</v>
      </c>
      <c r="B2629">
        <v>3827.74</v>
      </c>
      <c r="C2629" t="s">
        <v>3036</v>
      </c>
    </row>
    <row r="2630" spans="1:3" x14ac:dyDescent="0.3">
      <c r="A2630" s="426">
        <v>43004</v>
      </c>
      <c r="B2630">
        <v>3922.64</v>
      </c>
      <c r="C2630" t="s">
        <v>3037</v>
      </c>
    </row>
    <row r="2631" spans="1:3" x14ac:dyDescent="0.3">
      <c r="A2631" s="426">
        <v>43005</v>
      </c>
      <c r="B2631">
        <v>4039.1</v>
      </c>
      <c r="C2631" t="s">
        <v>3038</v>
      </c>
    </row>
    <row r="2632" spans="1:3" x14ac:dyDescent="0.3">
      <c r="A2632" s="426">
        <v>43006</v>
      </c>
      <c r="B2632">
        <v>4191.24</v>
      </c>
      <c r="C2632" t="s">
        <v>3039</v>
      </c>
    </row>
    <row r="2633" spans="1:3" x14ac:dyDescent="0.3">
      <c r="A2633" s="426">
        <v>43007</v>
      </c>
      <c r="B2633">
        <v>4157.21</v>
      </c>
      <c r="C2633" t="s">
        <v>3040</v>
      </c>
    </row>
    <row r="2634" spans="1:3" x14ac:dyDescent="0.3">
      <c r="A2634" s="426">
        <v>43008</v>
      </c>
      <c r="B2634">
        <v>4286.6400000000003</v>
      </c>
      <c r="C2634" t="s">
        <v>3041</v>
      </c>
    </row>
    <row r="2635" spans="1:3" x14ac:dyDescent="0.3">
      <c r="A2635" s="426">
        <v>43009</v>
      </c>
      <c r="B2635">
        <v>4317.24</v>
      </c>
      <c r="C2635" t="s">
        <v>3042</v>
      </c>
    </row>
    <row r="2636" spans="1:3" x14ac:dyDescent="0.3">
      <c r="A2636" s="426">
        <v>43010</v>
      </c>
      <c r="B2636">
        <v>4413.2700000000004</v>
      </c>
      <c r="C2636" t="s">
        <v>3043</v>
      </c>
    </row>
    <row r="2637" spans="1:3" x14ac:dyDescent="0.3">
      <c r="A2637" s="426">
        <v>43011</v>
      </c>
      <c r="B2637">
        <v>4319</v>
      </c>
      <c r="C2637" t="s">
        <v>3044</v>
      </c>
    </row>
    <row r="2638" spans="1:3" x14ac:dyDescent="0.3">
      <c r="A2638" s="426">
        <v>43012</v>
      </c>
      <c r="B2638">
        <v>4259.28</v>
      </c>
      <c r="C2638" t="s">
        <v>3045</v>
      </c>
    </row>
    <row r="2639" spans="1:3" x14ac:dyDescent="0.3">
      <c r="A2639" s="426">
        <v>43013</v>
      </c>
      <c r="B2639">
        <v>4262.0200000000004</v>
      </c>
      <c r="C2639" t="s">
        <v>3046</v>
      </c>
    </row>
    <row r="2640" spans="1:3" x14ac:dyDescent="0.3">
      <c r="A2640" s="426">
        <v>43014</v>
      </c>
      <c r="B2640">
        <v>4362.09</v>
      </c>
      <c r="C2640" t="s">
        <v>3047</v>
      </c>
    </row>
    <row r="2641" spans="1:3" x14ac:dyDescent="0.3">
      <c r="A2641" s="426">
        <v>43015</v>
      </c>
      <c r="B2641">
        <v>4356.96</v>
      </c>
      <c r="C2641" t="s">
        <v>3048</v>
      </c>
    </row>
    <row r="2642" spans="1:3" x14ac:dyDescent="0.3">
      <c r="A2642" s="426">
        <v>43016</v>
      </c>
      <c r="B2642">
        <v>4498.82</v>
      </c>
      <c r="C2642" t="s">
        <v>3049</v>
      </c>
    </row>
    <row r="2643" spans="1:3" x14ac:dyDescent="0.3">
      <c r="A2643" s="426">
        <v>43017</v>
      </c>
      <c r="B2643">
        <v>4648.5600000000004</v>
      </c>
      <c r="C2643" t="s">
        <v>3050</v>
      </c>
    </row>
    <row r="2644" spans="1:3" x14ac:dyDescent="0.3">
      <c r="A2644" s="426">
        <v>43018</v>
      </c>
      <c r="B2644">
        <v>4822.05</v>
      </c>
      <c r="C2644" t="s">
        <v>3051</v>
      </c>
    </row>
    <row r="2645" spans="1:3" x14ac:dyDescent="0.3">
      <c r="A2645" s="426">
        <v>43019</v>
      </c>
      <c r="B2645">
        <v>4798.24</v>
      </c>
      <c r="C2645" t="s">
        <v>3052</v>
      </c>
    </row>
    <row r="2646" spans="1:3" x14ac:dyDescent="0.3">
      <c r="A2646" s="426">
        <v>43020</v>
      </c>
      <c r="B2646">
        <v>5117.9399999999996</v>
      </c>
      <c r="C2646" t="s">
        <v>3053</v>
      </c>
    </row>
    <row r="2647" spans="1:3" x14ac:dyDescent="0.3">
      <c r="A2647" s="426">
        <v>43021</v>
      </c>
      <c r="B2647">
        <v>5626.02</v>
      </c>
      <c r="C2647" t="s">
        <v>3054</v>
      </c>
    </row>
    <row r="2648" spans="1:3" x14ac:dyDescent="0.3">
      <c r="A2648" s="426">
        <v>43022</v>
      </c>
      <c r="B2648">
        <v>5673.4</v>
      </c>
      <c r="C2648" t="s">
        <v>3055</v>
      </c>
    </row>
    <row r="2649" spans="1:3" x14ac:dyDescent="0.3">
      <c r="A2649" s="426">
        <v>43023</v>
      </c>
      <c r="B2649">
        <v>5625.45</v>
      </c>
      <c r="C2649" t="s">
        <v>3056</v>
      </c>
    </row>
    <row r="2650" spans="1:3" x14ac:dyDescent="0.3">
      <c r="A2650" s="426">
        <v>43024</v>
      </c>
      <c r="B2650">
        <v>5674.31</v>
      </c>
      <c r="C2650" t="s">
        <v>3057</v>
      </c>
    </row>
    <row r="2651" spans="1:3" x14ac:dyDescent="0.3">
      <c r="A2651" s="426">
        <v>43025</v>
      </c>
      <c r="B2651">
        <v>5625.56</v>
      </c>
      <c r="C2651" t="s">
        <v>3058</v>
      </c>
    </row>
    <row r="2652" spans="1:3" x14ac:dyDescent="0.3">
      <c r="A2652" s="426">
        <v>43026</v>
      </c>
      <c r="B2652">
        <v>5408.94</v>
      </c>
      <c r="C2652" t="s">
        <v>3059</v>
      </c>
    </row>
    <row r="2653" spans="1:3" x14ac:dyDescent="0.3">
      <c r="A2653" s="426">
        <v>43027</v>
      </c>
      <c r="B2653">
        <v>5652.65</v>
      </c>
      <c r="C2653" t="s">
        <v>3060</v>
      </c>
    </row>
    <row r="2654" spans="1:3" x14ac:dyDescent="0.3">
      <c r="A2654" s="426">
        <v>43028</v>
      </c>
      <c r="B2654">
        <v>5785.85</v>
      </c>
      <c r="C2654" t="s">
        <v>3061</v>
      </c>
    </row>
    <row r="2655" spans="1:3" x14ac:dyDescent="0.3">
      <c r="A2655" s="426">
        <v>43029</v>
      </c>
      <c r="B2655">
        <v>6073.99</v>
      </c>
      <c r="C2655" t="s">
        <v>3062</v>
      </c>
    </row>
    <row r="2656" spans="1:3" x14ac:dyDescent="0.3">
      <c r="A2656" s="426">
        <v>43030</v>
      </c>
      <c r="B2656">
        <v>5917.64</v>
      </c>
      <c r="C2656" t="s">
        <v>3063</v>
      </c>
    </row>
    <row r="2657" spans="1:3" x14ac:dyDescent="0.3">
      <c r="A2657" s="426">
        <v>43031</v>
      </c>
      <c r="B2657">
        <v>5882.49</v>
      </c>
      <c r="C2657" t="s">
        <v>3064</v>
      </c>
    </row>
    <row r="2658" spans="1:3" x14ac:dyDescent="0.3">
      <c r="A2658" s="426">
        <v>43032</v>
      </c>
      <c r="B2658">
        <v>5666.83</v>
      </c>
      <c r="C2658" t="s">
        <v>3065</v>
      </c>
    </row>
    <row r="2659" spans="1:3" x14ac:dyDescent="0.3">
      <c r="A2659" s="426">
        <v>43033</v>
      </c>
      <c r="B2659">
        <v>5556.99</v>
      </c>
      <c r="C2659" t="s">
        <v>3066</v>
      </c>
    </row>
    <row r="2660" spans="1:3" x14ac:dyDescent="0.3">
      <c r="A2660" s="426">
        <v>43034</v>
      </c>
      <c r="B2660">
        <v>5829.88</v>
      </c>
      <c r="C2660" t="s">
        <v>3067</v>
      </c>
    </row>
    <row r="2661" spans="1:3" x14ac:dyDescent="0.3">
      <c r="A2661" s="426">
        <v>43035</v>
      </c>
      <c r="B2661">
        <v>5829.28</v>
      </c>
      <c r="C2661" t="s">
        <v>3068</v>
      </c>
    </row>
    <row r="2662" spans="1:3" x14ac:dyDescent="0.3">
      <c r="A2662" s="426">
        <v>43036</v>
      </c>
      <c r="B2662">
        <v>5758.09</v>
      </c>
      <c r="C2662" t="s">
        <v>3069</v>
      </c>
    </row>
    <row r="2663" spans="1:3" x14ac:dyDescent="0.3">
      <c r="A2663" s="426">
        <v>43037</v>
      </c>
      <c r="B2663">
        <v>5880.02</v>
      </c>
      <c r="C2663" t="s">
        <v>3070</v>
      </c>
    </row>
    <row r="2664" spans="1:3" x14ac:dyDescent="0.3">
      <c r="A2664" s="426">
        <v>43038</v>
      </c>
      <c r="B2664">
        <v>6124.97</v>
      </c>
      <c r="C2664" t="s">
        <v>3071</v>
      </c>
    </row>
    <row r="2665" spans="1:3" x14ac:dyDescent="0.3">
      <c r="A2665" s="426">
        <v>43039</v>
      </c>
      <c r="B2665">
        <v>6248.49</v>
      </c>
      <c r="C2665" t="s">
        <v>3072</v>
      </c>
    </row>
    <row r="2666" spans="1:3" x14ac:dyDescent="0.3">
      <c r="A2666" s="426">
        <v>43040</v>
      </c>
      <c r="B2666">
        <v>6528.32</v>
      </c>
      <c r="C2666" t="s">
        <v>3073</v>
      </c>
    </row>
    <row r="2667" spans="1:3" x14ac:dyDescent="0.3">
      <c r="A2667" s="426">
        <v>43041</v>
      </c>
      <c r="B2667">
        <v>6975.44</v>
      </c>
      <c r="C2667" t="s">
        <v>3074</v>
      </c>
    </row>
    <row r="2668" spans="1:3" x14ac:dyDescent="0.3">
      <c r="A2668" s="426">
        <v>43042</v>
      </c>
      <c r="B2668">
        <v>7249.21</v>
      </c>
      <c r="C2668" t="s">
        <v>3075</v>
      </c>
    </row>
    <row r="2669" spans="1:3" x14ac:dyDescent="0.3">
      <c r="A2669" s="426">
        <v>43043</v>
      </c>
      <c r="B2669">
        <v>7271.87</v>
      </c>
      <c r="C2669" t="s">
        <v>3076</v>
      </c>
    </row>
    <row r="2670" spans="1:3" x14ac:dyDescent="0.3">
      <c r="A2670" s="426">
        <v>43044</v>
      </c>
      <c r="B2670">
        <v>7474.32</v>
      </c>
      <c r="C2670" t="s">
        <v>3077</v>
      </c>
    </row>
    <row r="2671" spans="1:3" x14ac:dyDescent="0.3">
      <c r="A2671" s="426">
        <v>43045</v>
      </c>
      <c r="B2671">
        <v>7264.25</v>
      </c>
      <c r="C2671" t="s">
        <v>3078</v>
      </c>
    </row>
    <row r="2672" spans="1:3" x14ac:dyDescent="0.3">
      <c r="A2672" s="426">
        <v>43046</v>
      </c>
      <c r="B2672">
        <v>7138.71</v>
      </c>
      <c r="C2672" t="s">
        <v>3079</v>
      </c>
    </row>
    <row r="2673" spans="1:3" x14ac:dyDescent="0.3">
      <c r="A2673" s="426">
        <v>43047</v>
      </c>
      <c r="B2673">
        <v>7388.72</v>
      </c>
      <c r="C2673" t="s">
        <v>3080</v>
      </c>
    </row>
    <row r="2674" spans="1:3" x14ac:dyDescent="0.3">
      <c r="A2674" s="426">
        <v>43048</v>
      </c>
      <c r="B2674">
        <v>7256.26</v>
      </c>
      <c r="C2674" t="s">
        <v>3081</v>
      </c>
    </row>
    <row r="2675" spans="1:3" x14ac:dyDescent="0.3">
      <c r="A2675" s="426">
        <v>43049</v>
      </c>
      <c r="B2675">
        <v>6956.77</v>
      </c>
      <c r="C2675" t="s">
        <v>3082</v>
      </c>
    </row>
    <row r="2676" spans="1:3" x14ac:dyDescent="0.3">
      <c r="A2676" s="426">
        <v>43050</v>
      </c>
      <c r="B2676">
        <v>6541.41</v>
      </c>
      <c r="C2676" t="s">
        <v>3083</v>
      </c>
    </row>
    <row r="2677" spans="1:3" x14ac:dyDescent="0.3">
      <c r="A2677" s="426">
        <v>43051</v>
      </c>
      <c r="B2677">
        <v>6090.59</v>
      </c>
      <c r="C2677" t="s">
        <v>3084</v>
      </c>
    </row>
    <row r="2678" spans="1:3" x14ac:dyDescent="0.3">
      <c r="A2678" s="426">
        <v>43052</v>
      </c>
      <c r="B2678">
        <v>6336.16</v>
      </c>
      <c r="C2678" t="s">
        <v>3085</v>
      </c>
    </row>
    <row r="2679" spans="1:3" x14ac:dyDescent="0.3">
      <c r="A2679" s="426">
        <v>43053</v>
      </c>
      <c r="B2679">
        <v>6588.02</v>
      </c>
      <c r="C2679" t="s">
        <v>3086</v>
      </c>
    </row>
    <row r="2680" spans="1:3" x14ac:dyDescent="0.3">
      <c r="A2680" s="426">
        <v>43054</v>
      </c>
      <c r="B2680">
        <v>7045.16</v>
      </c>
      <c r="C2680" t="s">
        <v>3087</v>
      </c>
    </row>
    <row r="2681" spans="1:3" x14ac:dyDescent="0.3">
      <c r="A2681" s="426">
        <v>43055</v>
      </c>
      <c r="B2681">
        <v>7469.1</v>
      </c>
      <c r="C2681" t="s">
        <v>3088</v>
      </c>
    </row>
    <row r="2682" spans="1:3" x14ac:dyDescent="0.3">
      <c r="A2682" s="426">
        <v>43056</v>
      </c>
      <c r="B2682">
        <v>7839.48</v>
      </c>
      <c r="C2682" t="s">
        <v>3089</v>
      </c>
    </row>
    <row r="2683" spans="1:3" x14ac:dyDescent="0.3">
      <c r="A2683" s="426">
        <v>43057</v>
      </c>
      <c r="B2683">
        <v>7705.6</v>
      </c>
      <c r="C2683" t="s">
        <v>3090</v>
      </c>
    </row>
    <row r="2684" spans="1:3" x14ac:dyDescent="0.3">
      <c r="A2684" s="426">
        <v>43058</v>
      </c>
      <c r="B2684">
        <v>7835.28</v>
      </c>
      <c r="C2684" t="s">
        <v>3091</v>
      </c>
    </row>
    <row r="2685" spans="1:3" x14ac:dyDescent="0.3">
      <c r="A2685" s="426">
        <v>43059</v>
      </c>
      <c r="B2685">
        <v>8116.26</v>
      </c>
      <c r="C2685" t="s">
        <v>3092</v>
      </c>
    </row>
    <row r="2686" spans="1:3" x14ac:dyDescent="0.3">
      <c r="A2686" s="426">
        <v>43060</v>
      </c>
      <c r="B2686">
        <v>8189.3</v>
      </c>
      <c r="C2686" t="s">
        <v>3093</v>
      </c>
    </row>
    <row r="2687" spans="1:3" x14ac:dyDescent="0.3">
      <c r="A2687" s="426">
        <v>43061</v>
      </c>
      <c r="B2687">
        <v>8220.56</v>
      </c>
      <c r="C2687" t="s">
        <v>3094</v>
      </c>
    </row>
    <row r="2688" spans="1:3" x14ac:dyDescent="0.3">
      <c r="A2688" s="426">
        <v>43062</v>
      </c>
      <c r="B2688">
        <v>8198.93</v>
      </c>
      <c r="C2688" t="s">
        <v>3095</v>
      </c>
    </row>
    <row r="2689" spans="1:3" x14ac:dyDescent="0.3">
      <c r="A2689" s="426">
        <v>43063</v>
      </c>
      <c r="B2689">
        <v>8191.12</v>
      </c>
      <c r="C2689" t="s">
        <v>3096</v>
      </c>
    </row>
    <row r="2690" spans="1:3" x14ac:dyDescent="0.3">
      <c r="A2690" s="426">
        <v>43064</v>
      </c>
      <c r="B2690">
        <v>8484.86</v>
      </c>
      <c r="C2690" t="s">
        <v>3097</v>
      </c>
    </row>
    <row r="2691" spans="1:3" x14ac:dyDescent="0.3">
      <c r="A2691" s="426">
        <v>43065</v>
      </c>
      <c r="B2691">
        <v>9068.15</v>
      </c>
      <c r="C2691" t="s">
        <v>3098</v>
      </c>
    </row>
    <row r="2692" spans="1:3" x14ac:dyDescent="0.3">
      <c r="A2692" s="426">
        <v>43066</v>
      </c>
      <c r="B2692">
        <v>9618.6</v>
      </c>
      <c r="C2692" t="s">
        <v>3099</v>
      </c>
    </row>
    <row r="2693" spans="1:3" x14ac:dyDescent="0.3">
      <c r="A2693" s="426">
        <v>43067</v>
      </c>
      <c r="B2693">
        <v>9872.58</v>
      </c>
      <c r="C2693" t="s">
        <v>3100</v>
      </c>
    </row>
    <row r="2694" spans="1:3" x14ac:dyDescent="0.3">
      <c r="A2694" s="426">
        <v>43068</v>
      </c>
      <c r="B2694">
        <v>10456.81</v>
      </c>
      <c r="C2694" t="s">
        <v>3101</v>
      </c>
    </row>
    <row r="2695" spans="1:3" x14ac:dyDescent="0.3">
      <c r="A2695" s="426">
        <v>43069</v>
      </c>
      <c r="B2695">
        <v>9947.5300000000007</v>
      </c>
      <c r="C2695" t="s">
        <v>3102</v>
      </c>
    </row>
    <row r="2696" spans="1:3" x14ac:dyDescent="0.3">
      <c r="A2696" s="426">
        <v>43070</v>
      </c>
      <c r="B2696">
        <v>10234.58</v>
      </c>
      <c r="C2696" t="s">
        <v>3103</v>
      </c>
    </row>
    <row r="2697" spans="1:3" x14ac:dyDescent="0.3">
      <c r="A2697" s="426">
        <v>43071</v>
      </c>
      <c r="B2697">
        <v>10977.6</v>
      </c>
      <c r="C2697" t="s">
        <v>3104</v>
      </c>
    </row>
    <row r="2698" spans="1:3" x14ac:dyDescent="0.3">
      <c r="A2698" s="426">
        <v>43072</v>
      </c>
      <c r="B2698">
        <v>11309.87</v>
      </c>
      <c r="C2698" t="s">
        <v>3105</v>
      </c>
    </row>
    <row r="2699" spans="1:3" x14ac:dyDescent="0.3">
      <c r="A2699" s="426">
        <v>43073</v>
      </c>
      <c r="B2699">
        <v>11387.27</v>
      </c>
      <c r="C2699" t="s">
        <v>3106</v>
      </c>
    </row>
    <row r="2700" spans="1:3" x14ac:dyDescent="0.3">
      <c r="A2700" s="426">
        <v>43074</v>
      </c>
      <c r="B2700">
        <v>11718.61</v>
      </c>
      <c r="C2700" t="s">
        <v>3107</v>
      </c>
    </row>
    <row r="2701" spans="1:3" x14ac:dyDescent="0.3">
      <c r="A2701" s="426">
        <v>43075</v>
      </c>
      <c r="B2701">
        <v>12693.14</v>
      </c>
      <c r="C2701" t="s">
        <v>3108</v>
      </c>
    </row>
    <row r="2702" spans="1:3" x14ac:dyDescent="0.3">
      <c r="A2702" s="426">
        <v>43076</v>
      </c>
      <c r="B2702">
        <v>15027.25</v>
      </c>
      <c r="C2702" t="s">
        <v>3109</v>
      </c>
    </row>
    <row r="2703" spans="1:3" x14ac:dyDescent="0.3">
      <c r="A2703" s="426">
        <v>43077</v>
      </c>
      <c r="B2703">
        <v>15706.98</v>
      </c>
      <c r="C2703" t="s">
        <v>3110</v>
      </c>
    </row>
    <row r="2704" spans="1:3" x14ac:dyDescent="0.3">
      <c r="A2704" s="426">
        <v>43078</v>
      </c>
      <c r="B2704">
        <v>15088.79</v>
      </c>
      <c r="C2704" t="s">
        <v>3111</v>
      </c>
    </row>
    <row r="2705" spans="1:3" x14ac:dyDescent="0.3">
      <c r="A2705" s="426">
        <v>43079</v>
      </c>
      <c r="B2705">
        <v>14404.75</v>
      </c>
      <c r="C2705" t="s">
        <v>3112</v>
      </c>
    </row>
    <row r="2706" spans="1:3" x14ac:dyDescent="0.3">
      <c r="A2706" s="426">
        <v>43080</v>
      </c>
      <c r="B2706">
        <v>16465.900000000001</v>
      </c>
      <c r="C2706" t="s">
        <v>3113</v>
      </c>
    </row>
    <row r="2707" spans="1:3" x14ac:dyDescent="0.3">
      <c r="A2707" s="426">
        <v>43081</v>
      </c>
      <c r="B2707">
        <v>16910.18</v>
      </c>
      <c r="C2707" t="s">
        <v>3114</v>
      </c>
    </row>
    <row r="2708" spans="1:3" x14ac:dyDescent="0.3">
      <c r="A2708" s="426">
        <v>43082</v>
      </c>
      <c r="B2708">
        <v>16360.14</v>
      </c>
      <c r="C2708" t="s">
        <v>3115</v>
      </c>
    </row>
    <row r="2709" spans="1:3" x14ac:dyDescent="0.3">
      <c r="A2709" s="426">
        <v>43083</v>
      </c>
      <c r="B2709">
        <v>16472.53</v>
      </c>
      <c r="C2709" t="s">
        <v>3116</v>
      </c>
    </row>
    <row r="2710" spans="1:3" x14ac:dyDescent="0.3">
      <c r="A2710" s="426">
        <v>43084</v>
      </c>
      <c r="B2710">
        <v>17611.18</v>
      </c>
      <c r="C2710" t="s">
        <v>3117</v>
      </c>
    </row>
    <row r="2711" spans="1:3" x14ac:dyDescent="0.3">
      <c r="A2711" s="426">
        <v>43085</v>
      </c>
      <c r="B2711">
        <v>18077.990000000002</v>
      </c>
      <c r="C2711" t="s">
        <v>3118</v>
      </c>
    </row>
    <row r="2712" spans="1:3" x14ac:dyDescent="0.3">
      <c r="A2712" s="426">
        <v>43086</v>
      </c>
      <c r="B2712">
        <v>19270.37</v>
      </c>
      <c r="C2712" t="s">
        <v>3119</v>
      </c>
    </row>
    <row r="2713" spans="1:3" x14ac:dyDescent="0.3">
      <c r="A2713" s="426">
        <v>43087</v>
      </c>
      <c r="B2713">
        <v>18726.099999999999</v>
      </c>
      <c r="C2713" t="s">
        <v>3120</v>
      </c>
    </row>
    <row r="2714" spans="1:3" x14ac:dyDescent="0.3">
      <c r="A2714" s="426">
        <v>43088</v>
      </c>
      <c r="B2714">
        <v>18203.3</v>
      </c>
      <c r="C2714" t="s">
        <v>3121</v>
      </c>
    </row>
    <row r="2715" spans="1:3" x14ac:dyDescent="0.3">
      <c r="A2715" s="426">
        <v>43089</v>
      </c>
      <c r="B2715">
        <v>16789.95</v>
      </c>
      <c r="C2715" t="s">
        <v>3122</v>
      </c>
    </row>
    <row r="2716" spans="1:3" x14ac:dyDescent="0.3">
      <c r="A2716" s="426">
        <v>43090</v>
      </c>
      <c r="B2716">
        <v>16531.29</v>
      </c>
      <c r="C2716" t="s">
        <v>3123</v>
      </c>
    </row>
    <row r="2717" spans="1:3" x14ac:dyDescent="0.3">
      <c r="A2717" s="426">
        <v>43091</v>
      </c>
      <c r="B2717">
        <v>13656.95</v>
      </c>
      <c r="C2717" t="s">
        <v>3124</v>
      </c>
    </row>
    <row r="2718" spans="1:3" x14ac:dyDescent="0.3">
      <c r="A2718" s="426">
        <v>43092</v>
      </c>
      <c r="B2718">
        <v>14897.43</v>
      </c>
      <c r="C2718" t="s">
        <v>3125</v>
      </c>
    </row>
    <row r="2719" spans="1:3" x14ac:dyDescent="0.3">
      <c r="A2719" s="426">
        <v>43093</v>
      </c>
      <c r="B2719">
        <v>13514.11</v>
      </c>
      <c r="C2719" t="s">
        <v>3126</v>
      </c>
    </row>
    <row r="2720" spans="1:3" x14ac:dyDescent="0.3">
      <c r="A2720" s="426">
        <v>43094</v>
      </c>
      <c r="B2720">
        <v>14007.44</v>
      </c>
      <c r="C2720" t="s">
        <v>3127</v>
      </c>
    </row>
    <row r="2721" spans="1:3" x14ac:dyDescent="0.3">
      <c r="A2721" s="426">
        <v>43095</v>
      </c>
      <c r="B2721">
        <v>15293.52</v>
      </c>
      <c r="C2721" t="s">
        <v>3128</v>
      </c>
    </row>
    <row r="2722" spans="1:3" x14ac:dyDescent="0.3">
      <c r="A2722" s="426">
        <v>43096</v>
      </c>
      <c r="B2722">
        <v>15725.31</v>
      </c>
      <c r="C2722" t="s">
        <v>3129</v>
      </c>
    </row>
    <row r="2723" spans="1:3" x14ac:dyDescent="0.3">
      <c r="A2723" s="426">
        <v>43097</v>
      </c>
      <c r="B2723">
        <v>14240.61</v>
      </c>
      <c r="C2723" t="s">
        <v>3130</v>
      </c>
    </row>
    <row r="2724" spans="1:3" x14ac:dyDescent="0.3">
      <c r="A2724" s="426">
        <v>43098</v>
      </c>
      <c r="B2724">
        <v>14607.27</v>
      </c>
      <c r="C2724" t="s">
        <v>3131</v>
      </c>
    </row>
    <row r="2725" spans="1:3" x14ac:dyDescent="0.3">
      <c r="A2725" s="426">
        <v>43099</v>
      </c>
      <c r="B2725">
        <v>13303.28</v>
      </c>
      <c r="C2725" t="s">
        <v>3132</v>
      </c>
    </row>
    <row r="2726" spans="1:3" x14ac:dyDescent="0.3">
      <c r="A2726" s="426">
        <v>43100</v>
      </c>
      <c r="B2726">
        <v>13205.27</v>
      </c>
      <c r="C2726" t="s">
        <v>3133</v>
      </c>
    </row>
    <row r="2727" spans="1:3" x14ac:dyDescent="0.3">
      <c r="A2727" s="426">
        <v>43101</v>
      </c>
      <c r="B2727">
        <v>13498.6</v>
      </c>
      <c r="C2727" t="s">
        <v>3134</v>
      </c>
    </row>
    <row r="2728" spans="1:3" x14ac:dyDescent="0.3">
      <c r="A2728" s="426">
        <v>43102</v>
      </c>
      <c r="B2728">
        <v>13801.55</v>
      </c>
      <c r="C2728" t="s">
        <v>3135</v>
      </c>
    </row>
    <row r="2729" spans="1:3" x14ac:dyDescent="0.3">
      <c r="A2729" s="426">
        <v>43103</v>
      </c>
      <c r="B2729">
        <v>15058.62</v>
      </c>
      <c r="C2729" t="s">
        <v>3136</v>
      </c>
    </row>
    <row r="2730" spans="1:3" x14ac:dyDescent="0.3">
      <c r="A2730" s="426">
        <v>43104</v>
      </c>
      <c r="B2730">
        <v>14946.51</v>
      </c>
      <c r="C2730" t="s">
        <v>3137</v>
      </c>
    </row>
    <row r="2731" spans="1:3" x14ac:dyDescent="0.3">
      <c r="A2731" s="426">
        <v>43105</v>
      </c>
      <c r="B2731">
        <v>15996.52</v>
      </c>
      <c r="C2731" t="s">
        <v>3138</v>
      </c>
    </row>
    <row r="2732" spans="1:3" x14ac:dyDescent="0.3">
      <c r="A2732" s="426">
        <v>43106</v>
      </c>
      <c r="B2732">
        <v>16679.93</v>
      </c>
      <c r="C2732" t="s">
        <v>3139</v>
      </c>
    </row>
    <row r="2733" spans="1:3" x14ac:dyDescent="0.3">
      <c r="A2733" s="426">
        <v>43107</v>
      </c>
      <c r="B2733">
        <v>16558.84</v>
      </c>
      <c r="C2733" t="s">
        <v>3140</v>
      </c>
    </row>
    <row r="2734" spans="1:3" x14ac:dyDescent="0.3">
      <c r="A2734" s="426">
        <v>43108</v>
      </c>
      <c r="B2734">
        <v>15358.31</v>
      </c>
      <c r="C2734" t="s">
        <v>3141</v>
      </c>
    </row>
    <row r="2735" spans="1:3" x14ac:dyDescent="0.3">
      <c r="A2735" s="426">
        <v>43109</v>
      </c>
      <c r="B2735">
        <v>14882.02</v>
      </c>
      <c r="C2735" t="s">
        <v>3142</v>
      </c>
    </row>
    <row r="2736" spans="1:3" x14ac:dyDescent="0.3">
      <c r="A2736" s="426">
        <v>43110</v>
      </c>
      <c r="B2736">
        <v>14224.07</v>
      </c>
      <c r="C2736" t="s">
        <v>3143</v>
      </c>
    </row>
    <row r="2737" spans="1:3" x14ac:dyDescent="0.3">
      <c r="A2737" s="426">
        <v>43111</v>
      </c>
      <c r="B2737">
        <v>13663.46</v>
      </c>
      <c r="C2737" t="s">
        <v>3144</v>
      </c>
    </row>
    <row r="2738" spans="1:3" x14ac:dyDescent="0.3">
      <c r="A2738" s="426">
        <v>43112</v>
      </c>
      <c r="B2738">
        <v>13686.29</v>
      </c>
      <c r="C2738" t="s">
        <v>3145</v>
      </c>
    </row>
    <row r="2739" spans="1:3" x14ac:dyDescent="0.3">
      <c r="A2739" s="426">
        <v>43113</v>
      </c>
      <c r="B2739">
        <v>14271.19</v>
      </c>
      <c r="C2739" t="s">
        <v>3146</v>
      </c>
    </row>
    <row r="2740" spans="1:3" x14ac:dyDescent="0.3">
      <c r="A2740" s="426">
        <v>43114</v>
      </c>
      <c r="B2740">
        <v>13622.84</v>
      </c>
      <c r="C2740" t="s">
        <v>3147</v>
      </c>
    </row>
    <row r="2741" spans="1:3" x14ac:dyDescent="0.3">
      <c r="A2741" s="426">
        <v>43115</v>
      </c>
      <c r="B2741">
        <v>13827.49</v>
      </c>
      <c r="C2741" t="s">
        <v>3148</v>
      </c>
    </row>
    <row r="2742" spans="1:3" x14ac:dyDescent="0.3">
      <c r="A2742" s="426">
        <v>43116</v>
      </c>
      <c r="B2742">
        <v>11975.77</v>
      </c>
      <c r="C2742" t="s">
        <v>3149</v>
      </c>
    </row>
    <row r="2743" spans="1:3" x14ac:dyDescent="0.3">
      <c r="A2743" s="426">
        <v>43117</v>
      </c>
      <c r="B2743">
        <v>10751.09</v>
      </c>
      <c r="C2743" t="s">
        <v>3150</v>
      </c>
    </row>
    <row r="2744" spans="1:3" x14ac:dyDescent="0.3">
      <c r="A2744" s="426">
        <v>43118</v>
      </c>
      <c r="B2744">
        <v>11530.03</v>
      </c>
      <c r="C2744" t="s">
        <v>3151</v>
      </c>
    </row>
    <row r="2745" spans="1:3" x14ac:dyDescent="0.3">
      <c r="A2745" s="426">
        <v>43119</v>
      </c>
      <c r="B2745">
        <v>11489.07</v>
      </c>
      <c r="C2745" t="s">
        <v>3152</v>
      </c>
    </row>
    <row r="2746" spans="1:3" x14ac:dyDescent="0.3">
      <c r="A2746" s="426">
        <v>43120</v>
      </c>
      <c r="B2746">
        <v>12562.14</v>
      </c>
      <c r="C2746" t="s">
        <v>3153</v>
      </c>
    </row>
    <row r="2747" spans="1:3" x14ac:dyDescent="0.3">
      <c r="A2747" s="426">
        <v>43121</v>
      </c>
      <c r="B2747">
        <v>11935.85</v>
      </c>
      <c r="C2747" t="s">
        <v>3154</v>
      </c>
    </row>
    <row r="2748" spans="1:3" x14ac:dyDescent="0.3">
      <c r="A2748" s="426">
        <v>43122</v>
      </c>
      <c r="B2748">
        <v>11388.51</v>
      </c>
      <c r="C2748" t="s">
        <v>3155</v>
      </c>
    </row>
    <row r="2749" spans="1:3" x14ac:dyDescent="0.3">
      <c r="A2749" s="426">
        <v>43123</v>
      </c>
      <c r="B2749">
        <v>10740.5</v>
      </c>
      <c r="C2749" t="s">
        <v>3156</v>
      </c>
    </row>
    <row r="2750" spans="1:3" x14ac:dyDescent="0.3">
      <c r="A2750" s="426">
        <v>43124</v>
      </c>
      <c r="B2750">
        <v>11043.88</v>
      </c>
      <c r="C2750" t="s">
        <v>3157</v>
      </c>
    </row>
    <row r="2751" spans="1:3" x14ac:dyDescent="0.3">
      <c r="A2751" s="426">
        <v>43125</v>
      </c>
      <c r="B2751">
        <v>11300.5</v>
      </c>
      <c r="C2751" t="s">
        <v>3158</v>
      </c>
    </row>
    <row r="2752" spans="1:3" x14ac:dyDescent="0.3">
      <c r="A2752" s="426">
        <v>43126</v>
      </c>
      <c r="B2752">
        <v>11019.47</v>
      </c>
      <c r="C2752" t="s">
        <v>3159</v>
      </c>
    </row>
    <row r="2753" spans="1:3" x14ac:dyDescent="0.3">
      <c r="A2753" s="426">
        <v>43127</v>
      </c>
      <c r="B2753">
        <v>11198</v>
      </c>
      <c r="C2753" t="s">
        <v>3160</v>
      </c>
    </row>
    <row r="2754" spans="1:3" x14ac:dyDescent="0.3">
      <c r="A2754" s="426">
        <v>43128</v>
      </c>
      <c r="B2754">
        <v>11690.74</v>
      </c>
      <c r="C2754" t="s">
        <v>3161</v>
      </c>
    </row>
    <row r="2755" spans="1:3" x14ac:dyDescent="0.3">
      <c r="A2755" s="426">
        <v>43129</v>
      </c>
      <c r="B2755">
        <v>11272.69</v>
      </c>
      <c r="C2755" t="s">
        <v>3162</v>
      </c>
    </row>
    <row r="2756" spans="1:3" x14ac:dyDescent="0.3">
      <c r="A2756" s="426">
        <v>43130</v>
      </c>
      <c r="B2756">
        <v>10903.61</v>
      </c>
      <c r="C2756" t="s">
        <v>3163</v>
      </c>
    </row>
    <row r="2757" spans="1:3" x14ac:dyDescent="0.3">
      <c r="A2757" s="426">
        <v>43131</v>
      </c>
      <c r="B2757">
        <v>10044.73</v>
      </c>
      <c r="C2757" t="s">
        <v>3164</v>
      </c>
    </row>
    <row r="2758" spans="1:3" x14ac:dyDescent="0.3">
      <c r="A2758" s="426">
        <v>43132</v>
      </c>
      <c r="B2758">
        <v>9545.23</v>
      </c>
      <c r="C2758" t="s">
        <v>3165</v>
      </c>
    </row>
    <row r="2759" spans="1:3" x14ac:dyDescent="0.3">
      <c r="A2759" s="426">
        <v>43133</v>
      </c>
      <c r="B2759">
        <v>8687.5300000000007</v>
      </c>
      <c r="C2759" t="s">
        <v>3166</v>
      </c>
    </row>
    <row r="2760" spans="1:3" x14ac:dyDescent="0.3">
      <c r="A2760" s="426">
        <v>43134</v>
      </c>
      <c r="B2760">
        <v>8877.6</v>
      </c>
      <c r="C2760" t="s">
        <v>3167</v>
      </c>
    </row>
    <row r="2761" spans="1:3" x14ac:dyDescent="0.3">
      <c r="A2761" s="426">
        <v>43135</v>
      </c>
      <c r="B2761">
        <v>8792.44</v>
      </c>
      <c r="C2761" t="s">
        <v>3168</v>
      </c>
    </row>
    <row r="2762" spans="1:3" x14ac:dyDescent="0.3">
      <c r="A2762" s="426">
        <v>43136</v>
      </c>
      <c r="B2762">
        <v>7750.23</v>
      </c>
      <c r="C2762" t="s">
        <v>3169</v>
      </c>
    </row>
    <row r="2763" spans="1:3" x14ac:dyDescent="0.3">
      <c r="A2763" s="426">
        <v>43137</v>
      </c>
      <c r="B2763">
        <v>6772.08</v>
      </c>
      <c r="C2763" t="s">
        <v>3170</v>
      </c>
    </row>
    <row r="2764" spans="1:3" x14ac:dyDescent="0.3">
      <c r="A2764" s="426">
        <v>43138</v>
      </c>
      <c r="B2764">
        <v>8100.21</v>
      </c>
      <c r="C2764" t="s">
        <v>3171</v>
      </c>
    </row>
    <row r="2765" spans="1:3" x14ac:dyDescent="0.3">
      <c r="A2765" s="426">
        <v>43139</v>
      </c>
      <c r="B2765">
        <v>8225.51</v>
      </c>
      <c r="C2765" t="s">
        <v>3172</v>
      </c>
    </row>
    <row r="2766" spans="1:3" x14ac:dyDescent="0.3">
      <c r="A2766" s="426">
        <v>43140</v>
      </c>
      <c r="B2766">
        <v>8299.7900000000009</v>
      </c>
      <c r="C2766" t="s">
        <v>3173</v>
      </c>
    </row>
    <row r="2767" spans="1:3" x14ac:dyDescent="0.3">
      <c r="A2767" s="426">
        <v>43141</v>
      </c>
      <c r="B2767">
        <v>8713.5</v>
      </c>
      <c r="C2767" t="s">
        <v>3174</v>
      </c>
    </row>
    <row r="2768" spans="1:3" x14ac:dyDescent="0.3">
      <c r="A2768" s="426">
        <v>43142</v>
      </c>
      <c r="B2768">
        <v>8301.39</v>
      </c>
      <c r="C2768" t="s">
        <v>3175</v>
      </c>
    </row>
    <row r="2769" spans="1:3" x14ac:dyDescent="0.3">
      <c r="A2769" s="426">
        <v>43143</v>
      </c>
      <c r="B2769">
        <v>8734.76</v>
      </c>
      <c r="C2769" t="s">
        <v>3176</v>
      </c>
    </row>
    <row r="2770" spans="1:3" x14ac:dyDescent="0.3">
      <c r="A2770" s="426">
        <v>43144</v>
      </c>
      <c r="B2770">
        <v>8670.61</v>
      </c>
      <c r="C2770" t="s">
        <v>3177</v>
      </c>
    </row>
    <row r="2771" spans="1:3" x14ac:dyDescent="0.3">
      <c r="A2771" s="426">
        <v>43145</v>
      </c>
      <c r="B2771">
        <v>8930.9500000000007</v>
      </c>
      <c r="C2771" t="s">
        <v>3178</v>
      </c>
    </row>
    <row r="2772" spans="1:3" x14ac:dyDescent="0.3">
      <c r="A2772" s="426">
        <v>43146</v>
      </c>
      <c r="B2772">
        <v>9766.44</v>
      </c>
      <c r="C2772" t="s">
        <v>3179</v>
      </c>
    </row>
    <row r="2773" spans="1:3" x14ac:dyDescent="0.3">
      <c r="A2773" s="426">
        <v>43147</v>
      </c>
      <c r="B2773">
        <v>10102.799999999999</v>
      </c>
      <c r="C2773" t="s">
        <v>3180</v>
      </c>
    </row>
    <row r="2774" spans="1:3" x14ac:dyDescent="0.3">
      <c r="A2774" s="426">
        <v>43148</v>
      </c>
      <c r="B2774">
        <v>10771.1</v>
      </c>
      <c r="C2774" t="s">
        <v>3181</v>
      </c>
    </row>
    <row r="2775" spans="1:3" x14ac:dyDescent="0.3">
      <c r="A2775" s="426">
        <v>43149</v>
      </c>
      <c r="B2775">
        <v>10833.7</v>
      </c>
      <c r="C2775" t="s">
        <v>3182</v>
      </c>
    </row>
    <row r="2776" spans="1:3" x14ac:dyDescent="0.3">
      <c r="A2776" s="426">
        <v>43150</v>
      </c>
      <c r="B2776">
        <v>10976.1</v>
      </c>
      <c r="C2776" t="s">
        <v>3183</v>
      </c>
    </row>
    <row r="2777" spans="1:3" x14ac:dyDescent="0.3">
      <c r="A2777" s="426">
        <v>43151</v>
      </c>
      <c r="B2777">
        <v>11584.3</v>
      </c>
      <c r="C2777" t="s">
        <v>3184</v>
      </c>
    </row>
    <row r="2778" spans="1:3" x14ac:dyDescent="0.3">
      <c r="A2778" s="426">
        <v>43152</v>
      </c>
      <c r="B2778">
        <v>11049.2</v>
      </c>
      <c r="C2778" t="s">
        <v>3185</v>
      </c>
    </row>
    <row r="2779" spans="1:3" x14ac:dyDescent="0.3">
      <c r="A2779" s="426">
        <v>43153</v>
      </c>
      <c r="B2779">
        <v>10305.9</v>
      </c>
      <c r="C2779" t="s">
        <v>3186</v>
      </c>
    </row>
    <row r="2780" spans="1:3" x14ac:dyDescent="0.3">
      <c r="A2780" s="426">
        <v>43154</v>
      </c>
      <c r="B2780">
        <v>10179</v>
      </c>
      <c r="C2780" t="s">
        <v>3187</v>
      </c>
    </row>
    <row r="2781" spans="1:3" x14ac:dyDescent="0.3">
      <c r="A2781" s="426">
        <v>43155</v>
      </c>
      <c r="B2781">
        <v>9908.7000000000007</v>
      </c>
      <c r="C2781" t="s">
        <v>3188</v>
      </c>
    </row>
    <row r="2782" spans="1:3" x14ac:dyDescent="0.3">
      <c r="A2782" s="426">
        <v>43156</v>
      </c>
      <c r="B2782">
        <v>9702.35</v>
      </c>
      <c r="C2782" t="s">
        <v>3189</v>
      </c>
    </row>
    <row r="2783" spans="1:3" x14ac:dyDescent="0.3">
      <c r="A2783" s="426">
        <v>43157</v>
      </c>
      <c r="B2783">
        <v>9789.11</v>
      </c>
      <c r="C2783" t="s">
        <v>3190</v>
      </c>
    </row>
    <row r="2784" spans="1:3" x14ac:dyDescent="0.3">
      <c r="A2784" s="426">
        <v>43158</v>
      </c>
      <c r="B2784">
        <v>10709.2</v>
      </c>
      <c r="C2784" t="s">
        <v>3191</v>
      </c>
    </row>
    <row r="2785" spans="1:3" x14ac:dyDescent="0.3">
      <c r="A2785" s="426">
        <v>43159</v>
      </c>
      <c r="B2785">
        <v>10684.5</v>
      </c>
      <c r="C2785" t="s">
        <v>3192</v>
      </c>
    </row>
    <row r="2786" spans="1:3" x14ac:dyDescent="0.3">
      <c r="A2786" s="426">
        <v>43160</v>
      </c>
      <c r="B2786">
        <v>10743.7</v>
      </c>
      <c r="C2786" t="s">
        <v>3193</v>
      </c>
    </row>
    <row r="2787" spans="1:3" x14ac:dyDescent="0.3">
      <c r="A2787" s="426">
        <v>43161</v>
      </c>
      <c r="B2787">
        <v>11031.3</v>
      </c>
      <c r="C2787" t="s">
        <v>3194</v>
      </c>
    </row>
    <row r="2788" spans="1:3" x14ac:dyDescent="0.3">
      <c r="A2788" s="426">
        <v>43162</v>
      </c>
      <c r="B2788">
        <v>11387.5</v>
      </c>
      <c r="C2788" t="s">
        <v>3195</v>
      </c>
    </row>
    <row r="2789" spans="1:3" x14ac:dyDescent="0.3">
      <c r="A2789" s="426">
        <v>43163</v>
      </c>
      <c r="B2789">
        <v>11253.5</v>
      </c>
      <c r="C2789" t="s">
        <v>3196</v>
      </c>
    </row>
    <row r="2790" spans="1:3" x14ac:dyDescent="0.3">
      <c r="A2790" s="426">
        <v>43164</v>
      </c>
      <c r="B2790">
        <v>11534.3</v>
      </c>
      <c r="C2790" t="s">
        <v>3197</v>
      </c>
    </row>
    <row r="2791" spans="1:3" x14ac:dyDescent="0.3">
      <c r="A2791" s="426">
        <v>43165</v>
      </c>
      <c r="B2791">
        <v>11028.4</v>
      </c>
      <c r="C2791" t="s">
        <v>3198</v>
      </c>
    </row>
    <row r="2792" spans="1:3" x14ac:dyDescent="0.3">
      <c r="A2792" s="426">
        <v>43166</v>
      </c>
      <c r="B2792">
        <v>10618.4</v>
      </c>
      <c r="C2792" t="s">
        <v>3199</v>
      </c>
    </row>
    <row r="2793" spans="1:3" x14ac:dyDescent="0.3">
      <c r="A2793" s="426">
        <v>43167</v>
      </c>
      <c r="B2793">
        <v>9863.9599999999991</v>
      </c>
      <c r="C2793" t="s">
        <v>3200</v>
      </c>
    </row>
    <row r="2794" spans="1:3" x14ac:dyDescent="0.3">
      <c r="A2794" s="426">
        <v>43168</v>
      </c>
      <c r="B2794">
        <v>8881.6200000000008</v>
      </c>
      <c r="C2794" t="s">
        <v>3201</v>
      </c>
    </row>
    <row r="2795" spans="1:3" x14ac:dyDescent="0.3">
      <c r="A2795" s="426">
        <v>43169</v>
      </c>
      <c r="B2795">
        <v>9377.14</v>
      </c>
      <c r="C2795" t="s">
        <v>3202</v>
      </c>
    </row>
    <row r="2796" spans="1:3" x14ac:dyDescent="0.3">
      <c r="A2796" s="426">
        <v>43170</v>
      </c>
      <c r="B2796">
        <v>9168.33</v>
      </c>
      <c r="C2796" t="s">
        <v>3203</v>
      </c>
    </row>
    <row r="2797" spans="1:3" x14ac:dyDescent="0.3">
      <c r="A2797" s="426">
        <v>43171</v>
      </c>
      <c r="B2797">
        <v>9595.01</v>
      </c>
      <c r="C2797" t="s">
        <v>3204</v>
      </c>
    </row>
    <row r="2798" spans="1:3" x14ac:dyDescent="0.3">
      <c r="A2798" s="426">
        <v>43172</v>
      </c>
      <c r="B2798">
        <v>9191.36</v>
      </c>
      <c r="C2798" t="s">
        <v>3205</v>
      </c>
    </row>
    <row r="2799" spans="1:3" x14ac:dyDescent="0.3">
      <c r="A2799" s="426">
        <v>43173</v>
      </c>
      <c r="B2799">
        <v>8803.33</v>
      </c>
      <c r="C2799" t="s">
        <v>3206</v>
      </c>
    </row>
    <row r="2800" spans="1:3" x14ac:dyDescent="0.3">
      <c r="A2800" s="426">
        <v>43174</v>
      </c>
      <c r="B2800">
        <v>8209.7099999999991</v>
      </c>
      <c r="C2800" t="s">
        <v>3207</v>
      </c>
    </row>
    <row r="2801" spans="1:3" x14ac:dyDescent="0.3">
      <c r="A2801" s="426">
        <v>43175</v>
      </c>
      <c r="B2801">
        <v>8269.7000000000007</v>
      </c>
      <c r="C2801" t="s">
        <v>3208</v>
      </c>
    </row>
    <row r="2802" spans="1:3" x14ac:dyDescent="0.3">
      <c r="A2802" s="426">
        <v>43176</v>
      </c>
      <c r="B2802">
        <v>8173.13</v>
      </c>
      <c r="C2802" t="s">
        <v>3209</v>
      </c>
    </row>
    <row r="2803" spans="1:3" x14ac:dyDescent="0.3">
      <c r="A2803" s="426">
        <v>43177</v>
      </c>
      <c r="B2803">
        <v>7684.24</v>
      </c>
      <c r="C2803" t="s">
        <v>3210</v>
      </c>
    </row>
    <row r="2804" spans="1:3" x14ac:dyDescent="0.3">
      <c r="A2804" s="426">
        <v>43178</v>
      </c>
      <c r="B2804">
        <v>8368.85</v>
      </c>
      <c r="C2804" t="s">
        <v>3211</v>
      </c>
    </row>
    <row r="2805" spans="1:3" x14ac:dyDescent="0.3">
      <c r="A2805" s="426">
        <v>43179</v>
      </c>
      <c r="B2805">
        <v>8581.24</v>
      </c>
      <c r="C2805" t="s">
        <v>3212</v>
      </c>
    </row>
    <row r="2806" spans="1:3" x14ac:dyDescent="0.3">
      <c r="A2806" s="426">
        <v>43180</v>
      </c>
      <c r="B2806">
        <v>9004.8700000000008</v>
      </c>
      <c r="C2806" t="s">
        <v>3213</v>
      </c>
    </row>
    <row r="2807" spans="1:3" x14ac:dyDescent="0.3">
      <c r="A2807" s="426">
        <v>43181</v>
      </c>
      <c r="B2807">
        <v>8744.2000000000007</v>
      </c>
      <c r="C2807" t="s">
        <v>3214</v>
      </c>
    </row>
    <row r="2808" spans="1:3" x14ac:dyDescent="0.3">
      <c r="A2808" s="426">
        <v>43182</v>
      </c>
      <c r="B2808">
        <v>8538.19</v>
      </c>
      <c r="C2808" t="s">
        <v>3215</v>
      </c>
    </row>
    <row r="2809" spans="1:3" x14ac:dyDescent="0.3">
      <c r="A2809" s="426">
        <v>43183</v>
      </c>
      <c r="B2809">
        <v>8929.91</v>
      </c>
      <c r="C2809" t="s">
        <v>3216</v>
      </c>
    </row>
    <row r="2810" spans="1:3" x14ac:dyDescent="0.3">
      <c r="A2810" s="426">
        <v>43184</v>
      </c>
      <c r="B2810">
        <v>8585.25</v>
      </c>
      <c r="C2810" t="s">
        <v>3217</v>
      </c>
    </row>
    <row r="2811" spans="1:3" x14ac:dyDescent="0.3">
      <c r="A2811" s="426">
        <v>43185</v>
      </c>
      <c r="B2811">
        <v>8216.84</v>
      </c>
      <c r="C2811" t="s">
        <v>3218</v>
      </c>
    </row>
    <row r="2812" spans="1:3" x14ac:dyDescent="0.3">
      <c r="A2812" s="426">
        <v>43186</v>
      </c>
      <c r="B2812">
        <v>7981.83</v>
      </c>
      <c r="C2812" t="s">
        <v>3219</v>
      </c>
    </row>
    <row r="2813" spans="1:3" x14ac:dyDescent="0.3">
      <c r="A2813" s="426">
        <v>43187</v>
      </c>
      <c r="B2813">
        <v>7946.32</v>
      </c>
      <c r="C2813" t="s">
        <v>3220</v>
      </c>
    </row>
    <row r="2814" spans="1:3" x14ac:dyDescent="0.3">
      <c r="A2814" s="426">
        <v>43188</v>
      </c>
      <c r="B2814">
        <v>7564.73</v>
      </c>
      <c r="C2814" t="s">
        <v>3221</v>
      </c>
    </row>
    <row r="2815" spans="1:3" x14ac:dyDescent="0.3">
      <c r="A2815" s="426">
        <v>43189</v>
      </c>
      <c r="B2815">
        <v>6907.97</v>
      </c>
      <c r="C2815" t="s">
        <v>3222</v>
      </c>
    </row>
    <row r="2816" spans="1:3" x14ac:dyDescent="0.3">
      <c r="A2816" s="426">
        <v>43190</v>
      </c>
      <c r="B2816">
        <v>7076.98</v>
      </c>
      <c r="C2816" t="s">
        <v>3223</v>
      </c>
    </row>
    <row r="2817" spans="1:3" x14ac:dyDescent="0.3">
      <c r="A2817" s="426">
        <v>43191</v>
      </c>
      <c r="B2817">
        <v>6854.77</v>
      </c>
      <c r="C2817" t="s">
        <v>3224</v>
      </c>
    </row>
    <row r="2818" spans="1:3" x14ac:dyDescent="0.3">
      <c r="A2818" s="426">
        <v>43192</v>
      </c>
      <c r="B2818">
        <v>7026.02</v>
      </c>
      <c r="C2818" t="s">
        <v>3225</v>
      </c>
    </row>
    <row r="2819" spans="1:3" x14ac:dyDescent="0.3">
      <c r="A2819" s="426">
        <v>43193</v>
      </c>
      <c r="B2819">
        <v>7394.21</v>
      </c>
      <c r="C2819" t="s">
        <v>3226</v>
      </c>
    </row>
    <row r="2820" spans="1:3" x14ac:dyDescent="0.3">
      <c r="A2820" s="426">
        <v>43194</v>
      </c>
      <c r="B2820">
        <v>7103</v>
      </c>
      <c r="C2820" t="s">
        <v>3227</v>
      </c>
    </row>
    <row r="2821" spans="1:3" x14ac:dyDescent="0.3">
      <c r="A2821" s="426">
        <v>43195</v>
      </c>
      <c r="B2821">
        <v>6799.87</v>
      </c>
      <c r="C2821" t="s">
        <v>3228</v>
      </c>
    </row>
    <row r="2822" spans="1:3" x14ac:dyDescent="0.3">
      <c r="A2822" s="426">
        <v>43196</v>
      </c>
      <c r="B2822">
        <v>6634.03</v>
      </c>
      <c r="C2822" t="s">
        <v>3229</v>
      </c>
    </row>
    <row r="2823" spans="1:3" x14ac:dyDescent="0.3">
      <c r="A2823" s="426">
        <v>43197</v>
      </c>
      <c r="B2823">
        <v>6880.75</v>
      </c>
      <c r="C2823" t="s">
        <v>3230</v>
      </c>
    </row>
    <row r="2824" spans="1:3" x14ac:dyDescent="0.3">
      <c r="A2824" s="426">
        <v>43198</v>
      </c>
      <c r="B2824">
        <v>7001.34</v>
      </c>
      <c r="C2824" t="s">
        <v>3231</v>
      </c>
    </row>
    <row r="2825" spans="1:3" x14ac:dyDescent="0.3">
      <c r="A2825" s="426">
        <v>43199</v>
      </c>
      <c r="B2825">
        <v>6789.13</v>
      </c>
      <c r="C2825" t="s">
        <v>3232</v>
      </c>
    </row>
    <row r="2826" spans="1:3" x14ac:dyDescent="0.3">
      <c r="A2826" s="426">
        <v>43200</v>
      </c>
      <c r="B2826">
        <v>6778.75</v>
      </c>
      <c r="C2826" t="s">
        <v>3233</v>
      </c>
    </row>
    <row r="2827" spans="1:3" x14ac:dyDescent="0.3">
      <c r="A2827" s="426">
        <v>43201</v>
      </c>
      <c r="B2827">
        <v>6862.41</v>
      </c>
      <c r="C2827" t="s">
        <v>3234</v>
      </c>
    </row>
    <row r="2828" spans="1:3" x14ac:dyDescent="0.3">
      <c r="A2828" s="426">
        <v>43202</v>
      </c>
      <c r="B2828">
        <v>7605</v>
      </c>
      <c r="C2828" t="s">
        <v>3235</v>
      </c>
    </row>
    <row r="2829" spans="1:3" x14ac:dyDescent="0.3">
      <c r="A2829" s="426">
        <v>43203</v>
      </c>
      <c r="B2829">
        <v>8050.45</v>
      </c>
      <c r="C2829" t="s">
        <v>3236</v>
      </c>
    </row>
    <row r="2830" spans="1:3" x14ac:dyDescent="0.3">
      <c r="A2830" s="426">
        <v>43204</v>
      </c>
      <c r="B2830">
        <v>7990.71</v>
      </c>
      <c r="C2830" t="s">
        <v>3237</v>
      </c>
    </row>
    <row r="2831" spans="1:3" x14ac:dyDescent="0.3">
      <c r="A2831" s="426">
        <v>43205</v>
      </c>
      <c r="B2831">
        <v>8262.93</v>
      </c>
      <c r="C2831" t="s">
        <v>3238</v>
      </c>
    </row>
    <row r="2832" spans="1:3" x14ac:dyDescent="0.3">
      <c r="A2832" s="426">
        <v>43206</v>
      </c>
      <c r="B2832">
        <v>8052.68</v>
      </c>
      <c r="C2832" t="s">
        <v>3239</v>
      </c>
    </row>
    <row r="2833" spans="1:3" x14ac:dyDescent="0.3">
      <c r="A2833" s="426">
        <v>43207</v>
      </c>
      <c r="B2833">
        <v>8058.93</v>
      </c>
      <c r="C2833" t="s">
        <v>3240</v>
      </c>
    </row>
    <row r="2834" spans="1:3" x14ac:dyDescent="0.3">
      <c r="A2834" s="426">
        <v>43208</v>
      </c>
      <c r="B2834">
        <v>8087.23</v>
      </c>
      <c r="C2834" t="s">
        <v>3241</v>
      </c>
    </row>
    <row r="2835" spans="1:3" x14ac:dyDescent="0.3">
      <c r="A2835" s="426">
        <v>43209</v>
      </c>
      <c r="B2835">
        <v>8230.5499999999993</v>
      </c>
      <c r="C2835" t="s">
        <v>3242</v>
      </c>
    </row>
    <row r="2836" spans="1:3" x14ac:dyDescent="0.3">
      <c r="A2836" s="426">
        <v>43210</v>
      </c>
      <c r="B2836">
        <v>8492.42</v>
      </c>
      <c r="C2836" t="s">
        <v>3243</v>
      </c>
    </row>
    <row r="2837" spans="1:3" x14ac:dyDescent="0.3">
      <c r="A2837" s="426">
        <v>43211</v>
      </c>
      <c r="B2837">
        <v>8804.6299999999992</v>
      </c>
      <c r="C2837" t="s">
        <v>3244</v>
      </c>
    </row>
    <row r="2838" spans="1:3" x14ac:dyDescent="0.3">
      <c r="A2838" s="426">
        <v>43212</v>
      </c>
      <c r="B2838">
        <v>8882.49</v>
      </c>
      <c r="C2838" t="s">
        <v>3245</v>
      </c>
    </row>
    <row r="2839" spans="1:3" x14ac:dyDescent="0.3">
      <c r="A2839" s="426">
        <v>43213</v>
      </c>
      <c r="B2839">
        <v>8896.19</v>
      </c>
      <c r="C2839" t="s">
        <v>3246</v>
      </c>
    </row>
    <row r="2840" spans="1:3" x14ac:dyDescent="0.3">
      <c r="A2840" s="426">
        <v>43214</v>
      </c>
      <c r="B2840">
        <v>9290.8799999999992</v>
      </c>
      <c r="C2840" t="s">
        <v>3247</v>
      </c>
    </row>
    <row r="2841" spans="1:3" x14ac:dyDescent="0.3">
      <c r="A2841" s="426">
        <v>43215</v>
      </c>
      <c r="B2841">
        <v>9152.26</v>
      </c>
      <c r="C2841" t="s">
        <v>3248</v>
      </c>
    </row>
    <row r="2842" spans="1:3" x14ac:dyDescent="0.3">
      <c r="A2842" s="426">
        <v>43216</v>
      </c>
      <c r="B2842">
        <v>8874.36</v>
      </c>
      <c r="C2842" t="s">
        <v>3249</v>
      </c>
    </row>
    <row r="2843" spans="1:3" x14ac:dyDescent="0.3">
      <c r="A2843" s="426">
        <v>43217</v>
      </c>
      <c r="B2843">
        <v>9247.7900000000009</v>
      </c>
      <c r="C2843" t="s">
        <v>3250</v>
      </c>
    </row>
    <row r="2844" spans="1:3" x14ac:dyDescent="0.3">
      <c r="A2844" s="426">
        <v>43218</v>
      </c>
      <c r="B2844">
        <v>9276.2000000000007</v>
      </c>
      <c r="C2844" t="s">
        <v>3251</v>
      </c>
    </row>
    <row r="2845" spans="1:3" x14ac:dyDescent="0.3">
      <c r="A2845" s="426">
        <v>43219</v>
      </c>
      <c r="B2845">
        <v>9343.32</v>
      </c>
      <c r="C2845" t="s">
        <v>3252</v>
      </c>
    </row>
    <row r="2846" spans="1:3" x14ac:dyDescent="0.3">
      <c r="A2846" s="426">
        <v>43220</v>
      </c>
      <c r="B2846">
        <v>9275.36</v>
      </c>
      <c r="C2846" t="s">
        <v>3253</v>
      </c>
    </row>
    <row r="2847" spans="1:3" x14ac:dyDescent="0.3">
      <c r="A2847" s="426">
        <v>43221</v>
      </c>
      <c r="B2847">
        <v>9011.4500000000007</v>
      </c>
      <c r="C2847" t="s">
        <v>3254</v>
      </c>
    </row>
    <row r="2848" spans="1:3" x14ac:dyDescent="0.3">
      <c r="A2848" s="426">
        <v>43222</v>
      </c>
      <c r="B2848">
        <v>9135.76</v>
      </c>
      <c r="C2848" t="s">
        <v>3255</v>
      </c>
    </row>
    <row r="2849" spans="1:3" x14ac:dyDescent="0.3">
      <c r="A2849" s="426">
        <v>43223</v>
      </c>
      <c r="B2849">
        <v>9274.5499999999993</v>
      </c>
      <c r="C2849" t="s">
        <v>3256</v>
      </c>
    </row>
    <row r="2850" spans="1:3" x14ac:dyDescent="0.3">
      <c r="A2850" s="426">
        <v>43224</v>
      </c>
      <c r="B2850">
        <v>9654.2999999999993</v>
      </c>
      <c r="C2850" t="s">
        <v>3257</v>
      </c>
    </row>
    <row r="2851" spans="1:3" x14ac:dyDescent="0.3">
      <c r="A2851" s="426">
        <v>43225</v>
      </c>
      <c r="B2851">
        <v>9832.82</v>
      </c>
      <c r="C2851" t="s">
        <v>3258</v>
      </c>
    </row>
    <row r="2852" spans="1:3" x14ac:dyDescent="0.3">
      <c r="A2852" s="426">
        <v>43226</v>
      </c>
      <c r="B2852">
        <v>9601.1299999999992</v>
      </c>
      <c r="C2852" t="s">
        <v>3259</v>
      </c>
    </row>
    <row r="2853" spans="1:3" x14ac:dyDescent="0.3">
      <c r="A2853" s="426">
        <v>43227</v>
      </c>
      <c r="B2853">
        <v>9367.33</v>
      </c>
      <c r="C2853" t="s">
        <v>3260</v>
      </c>
    </row>
    <row r="2854" spans="1:3" x14ac:dyDescent="0.3">
      <c r="A2854" s="426">
        <v>43228</v>
      </c>
      <c r="B2854">
        <v>9257.07</v>
      </c>
      <c r="C2854" t="s">
        <v>3261</v>
      </c>
    </row>
    <row r="2855" spans="1:3" x14ac:dyDescent="0.3">
      <c r="A2855" s="426">
        <v>43229</v>
      </c>
      <c r="B2855">
        <v>9215.69</v>
      </c>
      <c r="C2855" t="s">
        <v>3262</v>
      </c>
    </row>
    <row r="2856" spans="1:3" x14ac:dyDescent="0.3">
      <c r="A2856" s="426">
        <v>43230</v>
      </c>
      <c r="B2856">
        <v>9345.67</v>
      </c>
      <c r="C2856" t="s">
        <v>3263</v>
      </c>
    </row>
    <row r="2857" spans="1:3" x14ac:dyDescent="0.3">
      <c r="A2857" s="426">
        <v>43231</v>
      </c>
      <c r="B2857">
        <v>8645.67</v>
      </c>
      <c r="C2857" t="s">
        <v>3264</v>
      </c>
    </row>
    <row r="2858" spans="1:3" x14ac:dyDescent="0.3">
      <c r="A2858" s="426">
        <v>43232</v>
      </c>
      <c r="B2858">
        <v>8451</v>
      </c>
      <c r="C2858" t="s">
        <v>3265</v>
      </c>
    </row>
    <row r="2859" spans="1:3" x14ac:dyDescent="0.3">
      <c r="A2859" s="426">
        <v>43233</v>
      </c>
      <c r="B2859">
        <v>8571.7099999999991</v>
      </c>
      <c r="C2859" t="s">
        <v>3266</v>
      </c>
    </row>
    <row r="2860" spans="1:3" x14ac:dyDescent="0.3">
      <c r="A2860" s="426">
        <v>43234</v>
      </c>
      <c r="B2860">
        <v>8674.7800000000007</v>
      </c>
      <c r="C2860" t="s">
        <v>3267</v>
      </c>
    </row>
    <row r="2861" spans="1:3" x14ac:dyDescent="0.3">
      <c r="A2861" s="426">
        <v>43235</v>
      </c>
      <c r="B2861">
        <v>8706.3799999999992</v>
      </c>
      <c r="C2861" t="s">
        <v>3268</v>
      </c>
    </row>
    <row r="2862" spans="1:3" x14ac:dyDescent="0.3">
      <c r="A2862" s="426">
        <v>43236</v>
      </c>
      <c r="B2862">
        <v>8318.9599999999991</v>
      </c>
      <c r="C2862" t="s">
        <v>3269</v>
      </c>
    </row>
    <row r="2863" spans="1:3" x14ac:dyDescent="0.3">
      <c r="A2863" s="426">
        <v>43237</v>
      </c>
      <c r="B2863">
        <v>8323.4599999999991</v>
      </c>
      <c r="C2863" t="s">
        <v>3270</v>
      </c>
    </row>
    <row r="2864" spans="1:3" x14ac:dyDescent="0.3">
      <c r="A2864" s="426">
        <v>43238</v>
      </c>
      <c r="B2864">
        <v>8127.49</v>
      </c>
      <c r="C2864" t="s">
        <v>3271</v>
      </c>
    </row>
    <row r="2865" spans="1:3" x14ac:dyDescent="0.3">
      <c r="A2865" s="426">
        <v>43239</v>
      </c>
      <c r="B2865">
        <v>8251.91</v>
      </c>
      <c r="C2865" t="s">
        <v>3272</v>
      </c>
    </row>
    <row r="2866" spans="1:3" x14ac:dyDescent="0.3">
      <c r="A2866" s="426">
        <v>43240</v>
      </c>
      <c r="B2866">
        <v>8343.7800000000007</v>
      </c>
      <c r="C2866" t="s">
        <v>3273</v>
      </c>
    </row>
    <row r="2867" spans="1:3" x14ac:dyDescent="0.3">
      <c r="A2867" s="426">
        <v>43241</v>
      </c>
      <c r="B2867">
        <v>8488.68</v>
      </c>
      <c r="C2867" t="s">
        <v>3274</v>
      </c>
    </row>
    <row r="2868" spans="1:3" x14ac:dyDescent="0.3">
      <c r="A2868" s="426">
        <v>43242</v>
      </c>
      <c r="B2868">
        <v>8266.9</v>
      </c>
      <c r="C2868" t="s">
        <v>3275</v>
      </c>
    </row>
    <row r="2869" spans="1:3" x14ac:dyDescent="0.3">
      <c r="A2869" s="426">
        <v>43243</v>
      </c>
      <c r="B2869">
        <v>7897</v>
      </c>
      <c r="C2869" t="s">
        <v>3276</v>
      </c>
    </row>
    <row r="2870" spans="1:3" x14ac:dyDescent="0.3">
      <c r="A2870" s="426">
        <v>43244</v>
      </c>
      <c r="B2870">
        <v>7593.13</v>
      </c>
      <c r="C2870" t="s">
        <v>3277</v>
      </c>
    </row>
    <row r="2871" spans="1:3" x14ac:dyDescent="0.3">
      <c r="A2871" s="426">
        <v>43245</v>
      </c>
      <c r="B2871">
        <v>7475.62</v>
      </c>
      <c r="C2871" t="s">
        <v>3278</v>
      </c>
    </row>
    <row r="2872" spans="1:3" x14ac:dyDescent="0.3">
      <c r="A2872" s="426">
        <v>43246</v>
      </c>
      <c r="B2872">
        <v>7545.12</v>
      </c>
      <c r="C2872" t="s">
        <v>3279</v>
      </c>
    </row>
    <row r="2873" spans="1:3" x14ac:dyDescent="0.3">
      <c r="A2873" s="426">
        <v>43247</v>
      </c>
      <c r="B2873">
        <v>7338.85</v>
      </c>
      <c r="C2873" t="s">
        <v>3280</v>
      </c>
    </row>
    <row r="2874" spans="1:3" x14ac:dyDescent="0.3">
      <c r="A2874" s="426">
        <v>43248</v>
      </c>
      <c r="B2874">
        <v>7244.63</v>
      </c>
      <c r="C2874" t="s">
        <v>3281</v>
      </c>
    </row>
    <row r="2875" spans="1:3" x14ac:dyDescent="0.3">
      <c r="A2875" s="426">
        <v>43249</v>
      </c>
      <c r="B2875">
        <v>7416.45</v>
      </c>
      <c r="C2875" t="s">
        <v>3282</v>
      </c>
    </row>
    <row r="2876" spans="1:3" x14ac:dyDescent="0.3">
      <c r="A2876" s="426">
        <v>43250</v>
      </c>
      <c r="B2876">
        <v>7494.52</v>
      </c>
      <c r="C2876" t="s">
        <v>3283</v>
      </c>
    </row>
    <row r="2877" spans="1:3" x14ac:dyDescent="0.3">
      <c r="A2877" s="426">
        <v>43251</v>
      </c>
      <c r="B2877">
        <v>7554.11</v>
      </c>
      <c r="C2877" t="s">
        <v>3284</v>
      </c>
    </row>
    <row r="2878" spans="1:3" x14ac:dyDescent="0.3">
      <c r="A2878" s="426">
        <v>43252</v>
      </c>
      <c r="B2878">
        <v>7505.89</v>
      </c>
      <c r="C2878" t="s">
        <v>3285</v>
      </c>
    </row>
    <row r="2879" spans="1:3" x14ac:dyDescent="0.3">
      <c r="A2879" s="426">
        <v>43253</v>
      </c>
      <c r="B2879">
        <v>7640.06</v>
      </c>
      <c r="C2879" t="s">
        <v>3286</v>
      </c>
    </row>
    <row r="2880" spans="1:3" x14ac:dyDescent="0.3">
      <c r="A2880" s="426">
        <v>43254</v>
      </c>
      <c r="B2880">
        <v>7714.02</v>
      </c>
      <c r="C2880" t="s">
        <v>3287</v>
      </c>
    </row>
    <row r="2881" spans="1:3" x14ac:dyDescent="0.3">
      <c r="A2881" s="426">
        <v>43255</v>
      </c>
      <c r="B2881">
        <v>7562.33</v>
      </c>
      <c r="C2881" t="s">
        <v>3288</v>
      </c>
    </row>
    <row r="2882" spans="1:3" x14ac:dyDescent="0.3">
      <c r="A2882" s="426">
        <v>43256</v>
      </c>
      <c r="B2882">
        <v>7498.12</v>
      </c>
      <c r="C2882" t="s">
        <v>3289</v>
      </c>
    </row>
    <row r="2883" spans="1:3" x14ac:dyDescent="0.3">
      <c r="A2883" s="426">
        <v>43257</v>
      </c>
      <c r="B2883">
        <v>7619.28</v>
      </c>
      <c r="C2883" t="s">
        <v>3290</v>
      </c>
    </row>
    <row r="2884" spans="1:3" x14ac:dyDescent="0.3">
      <c r="A2884" s="426">
        <v>43258</v>
      </c>
      <c r="B2884">
        <v>7704.7</v>
      </c>
      <c r="C2884" t="s">
        <v>3291</v>
      </c>
    </row>
    <row r="2885" spans="1:3" x14ac:dyDescent="0.3">
      <c r="A2885" s="426">
        <v>43259</v>
      </c>
      <c r="B2885">
        <v>7646.56</v>
      </c>
      <c r="C2885" t="s">
        <v>3292</v>
      </c>
    </row>
    <row r="2886" spans="1:3" x14ac:dyDescent="0.3">
      <c r="A2886" s="426">
        <v>43260</v>
      </c>
      <c r="B2886">
        <v>7636.54</v>
      </c>
      <c r="C2886" t="s">
        <v>3293</v>
      </c>
    </row>
    <row r="2887" spans="1:3" x14ac:dyDescent="0.3">
      <c r="A2887" s="426">
        <v>43261</v>
      </c>
      <c r="B2887">
        <v>7258.45</v>
      </c>
      <c r="C2887" t="s">
        <v>3294</v>
      </c>
    </row>
    <row r="2888" spans="1:3" x14ac:dyDescent="0.3">
      <c r="A2888" s="426">
        <v>43262</v>
      </c>
      <c r="B2888">
        <v>6792.68</v>
      </c>
      <c r="C2888" t="s">
        <v>3295</v>
      </c>
    </row>
    <row r="2889" spans="1:3" x14ac:dyDescent="0.3">
      <c r="A2889" s="426">
        <v>43263</v>
      </c>
      <c r="B2889">
        <v>6855.38</v>
      </c>
      <c r="C2889" t="s">
        <v>3296</v>
      </c>
    </row>
    <row r="2890" spans="1:3" x14ac:dyDescent="0.3">
      <c r="A2890" s="426">
        <v>43264</v>
      </c>
      <c r="B2890">
        <v>6487.03</v>
      </c>
      <c r="C2890" t="s">
        <v>3297</v>
      </c>
    </row>
    <row r="2891" spans="1:3" x14ac:dyDescent="0.3">
      <c r="A2891" s="426">
        <v>43265</v>
      </c>
      <c r="B2891">
        <v>6522.74</v>
      </c>
      <c r="C2891" t="s">
        <v>3298</v>
      </c>
    </row>
    <row r="2892" spans="1:3" x14ac:dyDescent="0.3">
      <c r="A2892" s="426">
        <v>43266</v>
      </c>
      <c r="B2892">
        <v>6591.52</v>
      </c>
      <c r="C2892" t="s">
        <v>3299</v>
      </c>
    </row>
    <row r="2893" spans="1:3" x14ac:dyDescent="0.3">
      <c r="A2893" s="426">
        <v>43267</v>
      </c>
      <c r="B2893">
        <v>6506.11</v>
      </c>
      <c r="C2893" t="s">
        <v>3300</v>
      </c>
    </row>
    <row r="2894" spans="1:3" x14ac:dyDescent="0.3">
      <c r="A2894" s="426">
        <v>43268</v>
      </c>
      <c r="B2894">
        <v>6551.27</v>
      </c>
      <c r="C2894" t="s">
        <v>3301</v>
      </c>
    </row>
    <row r="2895" spans="1:3" x14ac:dyDescent="0.3">
      <c r="A2895" s="426">
        <v>43269</v>
      </c>
      <c r="B2895">
        <v>6486.3</v>
      </c>
      <c r="C2895" t="s">
        <v>3302</v>
      </c>
    </row>
    <row r="2896" spans="1:3" x14ac:dyDescent="0.3">
      <c r="A2896" s="426">
        <v>43270</v>
      </c>
      <c r="B2896">
        <v>6746.53</v>
      </c>
      <c r="C2896" t="s">
        <v>3303</v>
      </c>
    </row>
    <row r="2897" spans="1:3" x14ac:dyDescent="0.3">
      <c r="A2897" s="426">
        <v>43271</v>
      </c>
      <c r="B2897">
        <v>6672.31</v>
      </c>
      <c r="C2897" t="s">
        <v>3304</v>
      </c>
    </row>
    <row r="2898" spans="1:3" x14ac:dyDescent="0.3">
      <c r="A2898" s="426">
        <v>43272</v>
      </c>
      <c r="B2898">
        <v>6739.04</v>
      </c>
      <c r="C2898" t="s">
        <v>3305</v>
      </c>
    </row>
    <row r="2899" spans="1:3" x14ac:dyDescent="0.3">
      <c r="A2899" s="426">
        <v>43273</v>
      </c>
      <c r="B2899">
        <v>6360.24</v>
      </c>
      <c r="C2899" t="s">
        <v>3306</v>
      </c>
    </row>
    <row r="2900" spans="1:3" x14ac:dyDescent="0.3">
      <c r="A2900" s="426">
        <v>43274</v>
      </c>
      <c r="B2900">
        <v>6138.94</v>
      </c>
      <c r="C2900" t="s">
        <v>3307</v>
      </c>
    </row>
    <row r="2901" spans="1:3" x14ac:dyDescent="0.3">
      <c r="A2901" s="426">
        <v>43275</v>
      </c>
      <c r="B2901">
        <v>5960.62</v>
      </c>
      <c r="C2901" t="s">
        <v>3308</v>
      </c>
    </row>
    <row r="2902" spans="1:3" x14ac:dyDescent="0.3">
      <c r="A2902" s="426">
        <v>43276</v>
      </c>
      <c r="B2902">
        <v>6183.69</v>
      </c>
      <c r="C2902" t="s">
        <v>3309</v>
      </c>
    </row>
    <row r="2903" spans="1:3" x14ac:dyDescent="0.3">
      <c r="A2903" s="426">
        <v>43277</v>
      </c>
      <c r="B2903">
        <v>6216.16</v>
      </c>
      <c r="C2903" t="s">
        <v>3310</v>
      </c>
    </row>
    <row r="2904" spans="1:3" x14ac:dyDescent="0.3">
      <c r="A2904" s="426">
        <v>43278</v>
      </c>
      <c r="B2904">
        <v>6114.28</v>
      </c>
      <c r="C2904" t="s">
        <v>3311</v>
      </c>
    </row>
    <row r="2905" spans="1:3" x14ac:dyDescent="0.3">
      <c r="A2905" s="426">
        <v>43279</v>
      </c>
      <c r="B2905">
        <v>6117.73</v>
      </c>
      <c r="C2905" t="s">
        <v>3312</v>
      </c>
    </row>
    <row r="2906" spans="1:3" x14ac:dyDescent="0.3">
      <c r="A2906" s="426">
        <v>43280</v>
      </c>
      <c r="B2906">
        <v>5910.8</v>
      </c>
      <c r="C2906" t="s">
        <v>3313</v>
      </c>
    </row>
    <row r="2907" spans="1:3" x14ac:dyDescent="0.3">
      <c r="A2907" s="426">
        <v>43281</v>
      </c>
      <c r="B2907">
        <v>6387.05</v>
      </c>
      <c r="C2907" t="s">
        <v>3314</v>
      </c>
    </row>
    <row r="2908" spans="1:3" x14ac:dyDescent="0.3">
      <c r="A2908" s="426">
        <v>43282</v>
      </c>
      <c r="B2908">
        <v>6374.14</v>
      </c>
      <c r="C2908" t="s">
        <v>3315</v>
      </c>
    </row>
    <row r="2909" spans="1:3" x14ac:dyDescent="0.3">
      <c r="A2909" s="426">
        <v>43283</v>
      </c>
      <c r="B2909">
        <v>6372.31</v>
      </c>
      <c r="C2909" t="s">
        <v>3316</v>
      </c>
    </row>
    <row r="2910" spans="1:3" x14ac:dyDescent="0.3">
      <c r="A2910" s="426">
        <v>43284</v>
      </c>
      <c r="B2910">
        <v>6618.43</v>
      </c>
      <c r="C2910" t="s">
        <v>3317</v>
      </c>
    </row>
    <row r="2911" spans="1:3" x14ac:dyDescent="0.3">
      <c r="A2911" s="426">
        <v>43285</v>
      </c>
      <c r="B2911">
        <v>6533.22</v>
      </c>
      <c r="C2911" t="s">
        <v>3318</v>
      </c>
    </row>
    <row r="2912" spans="1:3" x14ac:dyDescent="0.3">
      <c r="A2912" s="426">
        <v>43286</v>
      </c>
      <c r="B2912">
        <v>6667.18</v>
      </c>
      <c r="C2912" t="s">
        <v>3319</v>
      </c>
    </row>
    <row r="2913" spans="1:3" x14ac:dyDescent="0.3">
      <c r="A2913" s="426">
        <v>43287</v>
      </c>
      <c r="B2913">
        <v>6630.15</v>
      </c>
      <c r="C2913" t="s">
        <v>3320</v>
      </c>
    </row>
    <row r="2914" spans="1:3" x14ac:dyDescent="0.3">
      <c r="A2914" s="426">
        <v>43288</v>
      </c>
      <c r="B2914">
        <v>6638.27</v>
      </c>
      <c r="C2914" t="s">
        <v>3321</v>
      </c>
    </row>
    <row r="2915" spans="1:3" x14ac:dyDescent="0.3">
      <c r="A2915" s="426">
        <v>43289</v>
      </c>
      <c r="B2915">
        <v>6828.2</v>
      </c>
      <c r="C2915" t="s">
        <v>3322</v>
      </c>
    </row>
    <row r="2916" spans="1:3" x14ac:dyDescent="0.3">
      <c r="A2916" s="426">
        <v>43290</v>
      </c>
      <c r="B2916">
        <v>6773.91</v>
      </c>
      <c r="C2916" t="s">
        <v>3323</v>
      </c>
    </row>
    <row r="2917" spans="1:3" x14ac:dyDescent="0.3">
      <c r="A2917" s="426">
        <v>43291</v>
      </c>
      <c r="B2917">
        <v>6411.06</v>
      </c>
      <c r="C2917" t="s">
        <v>3324</v>
      </c>
    </row>
    <row r="2918" spans="1:3" x14ac:dyDescent="0.3">
      <c r="A2918" s="426">
        <v>43292</v>
      </c>
      <c r="B2918">
        <v>6394.39</v>
      </c>
      <c r="C2918" t="s">
        <v>3325</v>
      </c>
    </row>
    <row r="2919" spans="1:3" x14ac:dyDescent="0.3">
      <c r="A2919" s="426">
        <v>43293</v>
      </c>
      <c r="B2919">
        <v>6200.68</v>
      </c>
      <c r="C2919" t="s">
        <v>3326</v>
      </c>
    </row>
    <row r="2920" spans="1:3" x14ac:dyDescent="0.3">
      <c r="A2920" s="426">
        <v>43294</v>
      </c>
      <c r="B2920">
        <v>6260.86</v>
      </c>
      <c r="C2920" t="s">
        <v>3327</v>
      </c>
    </row>
    <row r="2921" spans="1:3" x14ac:dyDescent="0.3">
      <c r="A2921" s="426">
        <v>43295</v>
      </c>
      <c r="B2921">
        <v>6267.7</v>
      </c>
      <c r="C2921" t="s">
        <v>3328</v>
      </c>
    </row>
    <row r="2922" spans="1:3" x14ac:dyDescent="0.3">
      <c r="A2922" s="426">
        <v>43296</v>
      </c>
      <c r="B2922">
        <v>6337.94</v>
      </c>
      <c r="C2922" t="s">
        <v>3329</v>
      </c>
    </row>
    <row r="2923" spans="1:3" x14ac:dyDescent="0.3">
      <c r="A2923" s="426">
        <v>43297</v>
      </c>
      <c r="B2923">
        <v>6635.74</v>
      </c>
      <c r="C2923" t="s">
        <v>3330</v>
      </c>
    </row>
    <row r="2924" spans="1:3" x14ac:dyDescent="0.3">
      <c r="A2924" s="426">
        <v>43298</v>
      </c>
      <c r="B2924">
        <v>6727.69</v>
      </c>
      <c r="C2924" t="s">
        <v>3331</v>
      </c>
    </row>
    <row r="2925" spans="1:3" x14ac:dyDescent="0.3">
      <c r="A2925" s="426">
        <v>43299</v>
      </c>
      <c r="B2925">
        <v>7351.59</v>
      </c>
      <c r="C2925" t="s">
        <v>3332</v>
      </c>
    </row>
    <row r="2926" spans="1:3" x14ac:dyDescent="0.3">
      <c r="A2926" s="426">
        <v>43300</v>
      </c>
      <c r="B2926">
        <v>7401.5</v>
      </c>
      <c r="C2926" t="s">
        <v>3333</v>
      </c>
    </row>
    <row r="2927" spans="1:3" x14ac:dyDescent="0.3">
      <c r="A2927" s="426">
        <v>43301</v>
      </c>
      <c r="B2927">
        <v>7448.25</v>
      </c>
      <c r="C2927" t="s">
        <v>3334</v>
      </c>
    </row>
    <row r="2928" spans="1:3" x14ac:dyDescent="0.3">
      <c r="A2928" s="426">
        <v>43302</v>
      </c>
      <c r="B2928">
        <v>7350.36</v>
      </c>
      <c r="C2928" t="s">
        <v>3335</v>
      </c>
    </row>
    <row r="2929" spans="1:3" x14ac:dyDescent="0.3">
      <c r="A2929" s="426">
        <v>43303</v>
      </c>
      <c r="B2929">
        <v>7442.81</v>
      </c>
      <c r="C2929" t="s">
        <v>3336</v>
      </c>
    </row>
    <row r="2930" spans="1:3" x14ac:dyDescent="0.3">
      <c r="A2930" s="426">
        <v>43304</v>
      </c>
      <c r="B2930">
        <v>7691.28</v>
      </c>
      <c r="C2930" t="s">
        <v>3337</v>
      </c>
    </row>
    <row r="2931" spans="1:3" x14ac:dyDescent="0.3">
      <c r="A2931" s="426">
        <v>43305</v>
      </c>
      <c r="B2931">
        <v>8176.78</v>
      </c>
      <c r="C2931" t="s">
        <v>3338</v>
      </c>
    </row>
    <row r="2932" spans="1:3" x14ac:dyDescent="0.3">
      <c r="A2932" s="426">
        <v>43306</v>
      </c>
      <c r="B2932">
        <v>8190.78</v>
      </c>
      <c r="C2932" t="s">
        <v>3339</v>
      </c>
    </row>
    <row r="2933" spans="1:3" x14ac:dyDescent="0.3">
      <c r="A2933" s="426">
        <v>43307</v>
      </c>
      <c r="B2933">
        <v>8228.01</v>
      </c>
      <c r="C2933" t="s">
        <v>3340</v>
      </c>
    </row>
    <row r="2934" spans="1:3" x14ac:dyDescent="0.3">
      <c r="A2934" s="426">
        <v>43308</v>
      </c>
      <c r="B2934">
        <v>7945.78</v>
      </c>
      <c r="C2934" t="s">
        <v>3341</v>
      </c>
    </row>
    <row r="2935" spans="1:3" x14ac:dyDescent="0.3">
      <c r="A2935" s="426">
        <v>43309</v>
      </c>
      <c r="B2935">
        <v>8184.01</v>
      </c>
      <c r="C2935" t="s">
        <v>3342</v>
      </c>
    </row>
    <row r="2936" spans="1:3" x14ac:dyDescent="0.3">
      <c r="A2936" s="426">
        <v>43310</v>
      </c>
      <c r="B2936">
        <v>8203.25</v>
      </c>
      <c r="C2936" t="s">
        <v>3343</v>
      </c>
    </row>
    <row r="2937" spans="1:3" x14ac:dyDescent="0.3">
      <c r="A2937" s="426">
        <v>43311</v>
      </c>
      <c r="B2937">
        <v>8153.5</v>
      </c>
      <c r="C2937" t="s">
        <v>3344</v>
      </c>
    </row>
    <row r="2938" spans="1:3" x14ac:dyDescent="0.3">
      <c r="A2938" s="426">
        <v>43312</v>
      </c>
      <c r="B2938">
        <v>7981.32</v>
      </c>
      <c r="C2938" t="s">
        <v>3345</v>
      </c>
    </row>
    <row r="2939" spans="1:3" x14ac:dyDescent="0.3">
      <c r="A2939" s="426">
        <v>43313</v>
      </c>
      <c r="B2939">
        <v>7592.77</v>
      </c>
      <c r="C2939" t="s">
        <v>3346</v>
      </c>
    </row>
    <row r="2940" spans="1:3" x14ac:dyDescent="0.3">
      <c r="A2940" s="426">
        <v>43314</v>
      </c>
      <c r="B2940">
        <v>7593.65</v>
      </c>
      <c r="C2940" t="s">
        <v>3347</v>
      </c>
    </row>
    <row r="2941" spans="1:3" x14ac:dyDescent="0.3">
      <c r="A2941" s="426">
        <v>43315</v>
      </c>
      <c r="B2941">
        <v>7417.7</v>
      </c>
      <c r="C2941" t="s">
        <v>3348</v>
      </c>
    </row>
    <row r="2942" spans="1:3" x14ac:dyDescent="0.3">
      <c r="A2942" s="426">
        <v>43316</v>
      </c>
      <c r="B2942">
        <v>7414.71</v>
      </c>
      <c r="C2942" t="s">
        <v>3349</v>
      </c>
    </row>
    <row r="2943" spans="1:3" x14ac:dyDescent="0.3">
      <c r="A2943" s="426">
        <v>43317</v>
      </c>
      <c r="B2943">
        <v>7036.02</v>
      </c>
      <c r="C2943" t="s">
        <v>3350</v>
      </c>
    </row>
    <row r="2944" spans="1:3" x14ac:dyDescent="0.3">
      <c r="A2944" s="426">
        <v>43318</v>
      </c>
      <c r="B2944">
        <v>6998.18</v>
      </c>
      <c r="C2944" t="s">
        <v>3351</v>
      </c>
    </row>
    <row r="2945" spans="1:3" x14ac:dyDescent="0.3">
      <c r="A2945" s="426">
        <v>43319</v>
      </c>
      <c r="B2945">
        <v>7055.69</v>
      </c>
      <c r="C2945" t="s">
        <v>3352</v>
      </c>
    </row>
    <row r="2946" spans="1:3" x14ac:dyDescent="0.3">
      <c r="A2946" s="426">
        <v>43320</v>
      </c>
      <c r="B2946">
        <v>6515.84</v>
      </c>
      <c r="C2946" t="s">
        <v>3353</v>
      </c>
    </row>
    <row r="2947" spans="1:3" x14ac:dyDescent="0.3">
      <c r="A2947" s="426">
        <v>43321</v>
      </c>
      <c r="B2947">
        <v>6379.22</v>
      </c>
      <c r="C2947" t="s">
        <v>3354</v>
      </c>
    </row>
    <row r="2948" spans="1:3" x14ac:dyDescent="0.3">
      <c r="A2948" s="426">
        <v>43322</v>
      </c>
      <c r="B2948">
        <v>6456.75</v>
      </c>
      <c r="C2948" t="s">
        <v>3355</v>
      </c>
    </row>
    <row r="2949" spans="1:3" x14ac:dyDescent="0.3">
      <c r="A2949" s="426">
        <v>43323</v>
      </c>
      <c r="B2949">
        <v>6157.29</v>
      </c>
      <c r="C2949" t="s">
        <v>3356</v>
      </c>
    </row>
    <row r="2950" spans="1:3" x14ac:dyDescent="0.3">
      <c r="A2950" s="426">
        <v>43324</v>
      </c>
      <c r="B2950">
        <v>6343.83</v>
      </c>
      <c r="C2950" t="s">
        <v>3357</v>
      </c>
    </row>
    <row r="2951" spans="1:3" x14ac:dyDescent="0.3">
      <c r="A2951" s="426">
        <v>43325</v>
      </c>
      <c r="B2951">
        <v>6356.67</v>
      </c>
      <c r="C2951" t="s">
        <v>3358</v>
      </c>
    </row>
    <row r="2952" spans="1:3" x14ac:dyDescent="0.3">
      <c r="A2952" s="426">
        <v>43326</v>
      </c>
      <c r="B2952">
        <v>6069.95</v>
      </c>
      <c r="C2952" t="s">
        <v>3359</v>
      </c>
    </row>
    <row r="2953" spans="1:3" x14ac:dyDescent="0.3">
      <c r="A2953" s="426">
        <v>43327</v>
      </c>
      <c r="B2953">
        <v>6374.66</v>
      </c>
      <c r="C2953" t="s">
        <v>3360</v>
      </c>
    </row>
    <row r="2954" spans="1:3" x14ac:dyDescent="0.3">
      <c r="A2954" s="426">
        <v>43328</v>
      </c>
      <c r="B2954">
        <v>6361.63</v>
      </c>
      <c r="C2954" t="s">
        <v>3361</v>
      </c>
    </row>
    <row r="2955" spans="1:3" x14ac:dyDescent="0.3">
      <c r="A2955" s="426">
        <v>43329</v>
      </c>
      <c r="B2955">
        <v>6496.32</v>
      </c>
      <c r="C2955" t="s">
        <v>3362</v>
      </c>
    </row>
    <row r="2956" spans="1:3" x14ac:dyDescent="0.3">
      <c r="A2956" s="426">
        <v>43330</v>
      </c>
      <c r="B2956">
        <v>6507.09</v>
      </c>
      <c r="C2956" t="s">
        <v>3363</v>
      </c>
    </row>
    <row r="2957" spans="1:3" x14ac:dyDescent="0.3">
      <c r="A2957" s="426">
        <v>43331</v>
      </c>
      <c r="B2957">
        <v>6408.37</v>
      </c>
      <c r="C2957" t="s">
        <v>3364</v>
      </c>
    </row>
    <row r="2958" spans="1:3" x14ac:dyDescent="0.3">
      <c r="A2958" s="426">
        <v>43332</v>
      </c>
      <c r="B2958">
        <v>6478.14</v>
      </c>
      <c r="C2958" t="s">
        <v>3365</v>
      </c>
    </row>
    <row r="2959" spans="1:3" x14ac:dyDescent="0.3">
      <c r="A2959" s="426">
        <v>43333</v>
      </c>
      <c r="B2959">
        <v>6443.95</v>
      </c>
      <c r="C2959" t="s">
        <v>3366</v>
      </c>
    </row>
    <row r="2960" spans="1:3" x14ac:dyDescent="0.3">
      <c r="A2960" s="426">
        <v>43334</v>
      </c>
      <c r="B2960">
        <v>6672.2</v>
      </c>
      <c r="C2960" t="s">
        <v>3367</v>
      </c>
    </row>
    <row r="2961" spans="1:3" x14ac:dyDescent="0.3">
      <c r="A2961" s="426">
        <v>43335</v>
      </c>
      <c r="B2961">
        <v>6448.34</v>
      </c>
      <c r="C2961" t="s">
        <v>3368</v>
      </c>
    </row>
    <row r="2962" spans="1:3" x14ac:dyDescent="0.3">
      <c r="A2962" s="426">
        <v>43336</v>
      </c>
      <c r="B2962">
        <v>6553.78</v>
      </c>
      <c r="C2962" t="s">
        <v>3369</v>
      </c>
    </row>
    <row r="2963" spans="1:3" x14ac:dyDescent="0.3">
      <c r="A2963" s="426">
        <v>43337</v>
      </c>
      <c r="B2963">
        <v>6732.05</v>
      </c>
      <c r="C2963" t="s">
        <v>3370</v>
      </c>
    </row>
    <row r="2964" spans="1:3" x14ac:dyDescent="0.3">
      <c r="A2964" s="426">
        <v>43338</v>
      </c>
      <c r="B2964">
        <v>6704.6</v>
      </c>
      <c r="C2964" t="s">
        <v>3371</v>
      </c>
    </row>
    <row r="2965" spans="1:3" x14ac:dyDescent="0.3">
      <c r="A2965" s="426">
        <v>43339</v>
      </c>
      <c r="B2965">
        <v>6738.22</v>
      </c>
      <c r="C2965" t="s">
        <v>3372</v>
      </c>
    </row>
    <row r="2966" spans="1:3" x14ac:dyDescent="0.3">
      <c r="A2966" s="426">
        <v>43340</v>
      </c>
      <c r="B2966">
        <v>7024.77</v>
      </c>
      <c r="C2966" t="s">
        <v>3373</v>
      </c>
    </row>
    <row r="2967" spans="1:3" x14ac:dyDescent="0.3">
      <c r="A2967" s="426">
        <v>43341</v>
      </c>
      <c r="B2967">
        <v>7063.13</v>
      </c>
      <c r="C2967" t="s">
        <v>3374</v>
      </c>
    </row>
    <row r="2968" spans="1:3" x14ac:dyDescent="0.3">
      <c r="A2968" s="426">
        <v>43342</v>
      </c>
      <c r="B2968">
        <v>6943.63</v>
      </c>
      <c r="C2968" t="s">
        <v>3375</v>
      </c>
    </row>
    <row r="2969" spans="1:3" x14ac:dyDescent="0.3">
      <c r="A2969" s="426">
        <v>43343</v>
      </c>
      <c r="B2969">
        <v>6977.97</v>
      </c>
      <c r="C2969" t="s">
        <v>3376</v>
      </c>
    </row>
    <row r="2970" spans="1:3" x14ac:dyDescent="0.3">
      <c r="A2970" s="426">
        <v>43344</v>
      </c>
      <c r="B2970">
        <v>7069.61</v>
      </c>
      <c r="C2970" t="s">
        <v>3377</v>
      </c>
    </row>
    <row r="2971" spans="1:3" x14ac:dyDescent="0.3">
      <c r="A2971" s="426">
        <v>43345</v>
      </c>
      <c r="B2971">
        <v>7252.77</v>
      </c>
      <c r="C2971" t="s">
        <v>3378</v>
      </c>
    </row>
    <row r="2972" spans="1:3" x14ac:dyDescent="0.3">
      <c r="A2972" s="426">
        <v>43346</v>
      </c>
      <c r="B2972">
        <v>7265.57</v>
      </c>
      <c r="C2972" t="s">
        <v>3379</v>
      </c>
    </row>
    <row r="2973" spans="1:3" x14ac:dyDescent="0.3">
      <c r="A2973" s="426">
        <v>43347</v>
      </c>
      <c r="B2973">
        <v>7352.61</v>
      </c>
      <c r="C2973" t="s">
        <v>3380</v>
      </c>
    </row>
    <row r="2974" spans="1:3" x14ac:dyDescent="0.3">
      <c r="A2974" s="426">
        <v>43348</v>
      </c>
      <c r="B2974">
        <v>7038.15</v>
      </c>
      <c r="C2974" t="s">
        <v>3381</v>
      </c>
    </row>
    <row r="2975" spans="1:3" x14ac:dyDescent="0.3">
      <c r="A2975" s="426">
        <v>43349</v>
      </c>
      <c r="B2975">
        <v>6459.52</v>
      </c>
      <c r="C2975" t="s">
        <v>3382</v>
      </c>
    </row>
    <row r="2976" spans="1:3" x14ac:dyDescent="0.3">
      <c r="A2976" s="426">
        <v>43350</v>
      </c>
      <c r="B2976">
        <v>6483.63</v>
      </c>
      <c r="C2976" t="s">
        <v>3383</v>
      </c>
    </row>
    <row r="2977" spans="1:3" x14ac:dyDescent="0.3">
      <c r="A2977" s="426">
        <v>43351</v>
      </c>
      <c r="B2977">
        <v>6484.09</v>
      </c>
      <c r="C2977" t="s">
        <v>3384</v>
      </c>
    </row>
    <row r="2978" spans="1:3" x14ac:dyDescent="0.3">
      <c r="A2978" s="426">
        <v>43352</v>
      </c>
      <c r="B2978">
        <v>6401.2</v>
      </c>
      <c r="C2978" t="s">
        <v>3385</v>
      </c>
    </row>
    <row r="2979" spans="1:3" x14ac:dyDescent="0.3">
      <c r="A2979" s="426">
        <v>43353</v>
      </c>
      <c r="B2979">
        <v>6325.02</v>
      </c>
      <c r="C2979" t="s">
        <v>3386</v>
      </c>
    </row>
    <row r="2980" spans="1:3" x14ac:dyDescent="0.3">
      <c r="A2980" s="426">
        <v>43354</v>
      </c>
      <c r="B2980">
        <v>6333.18</v>
      </c>
      <c r="C2980" t="s">
        <v>3387</v>
      </c>
    </row>
    <row r="2981" spans="1:3" x14ac:dyDescent="0.3">
      <c r="A2981" s="426">
        <v>43355</v>
      </c>
      <c r="B2981">
        <v>6308.34</v>
      </c>
      <c r="C2981" t="s">
        <v>3388</v>
      </c>
    </row>
    <row r="2982" spans="1:3" x14ac:dyDescent="0.3">
      <c r="A2982" s="426">
        <v>43356</v>
      </c>
      <c r="B2982">
        <v>6468.22</v>
      </c>
      <c r="C2982" t="s">
        <v>3389</v>
      </c>
    </row>
    <row r="2983" spans="1:3" x14ac:dyDescent="0.3">
      <c r="A2983" s="426">
        <v>43357</v>
      </c>
      <c r="B2983">
        <v>6511.35</v>
      </c>
      <c r="C2983" t="s">
        <v>3390</v>
      </c>
    </row>
    <row r="2984" spans="1:3" x14ac:dyDescent="0.3">
      <c r="A2984" s="426">
        <v>43358</v>
      </c>
      <c r="B2984">
        <v>6530.42</v>
      </c>
      <c r="C2984" t="s">
        <v>3391</v>
      </c>
    </row>
    <row r="2985" spans="1:3" x14ac:dyDescent="0.3">
      <c r="A2985" s="426">
        <v>43359</v>
      </c>
      <c r="B2985">
        <v>6502.94</v>
      </c>
      <c r="C2985" t="s">
        <v>3392</v>
      </c>
    </row>
    <row r="2986" spans="1:3" x14ac:dyDescent="0.3">
      <c r="A2986" s="426">
        <v>43360</v>
      </c>
      <c r="B2986">
        <v>6476.51</v>
      </c>
      <c r="C2986" t="s">
        <v>3393</v>
      </c>
    </row>
    <row r="2987" spans="1:3" x14ac:dyDescent="0.3">
      <c r="A2987" s="426">
        <v>43361</v>
      </c>
      <c r="B2987">
        <v>6307.52</v>
      </c>
      <c r="C2987" t="s">
        <v>3394</v>
      </c>
    </row>
    <row r="2988" spans="1:3" x14ac:dyDescent="0.3">
      <c r="A2988" s="426">
        <v>43362</v>
      </c>
      <c r="B2988">
        <v>6355.63</v>
      </c>
      <c r="C2988" t="s">
        <v>3395</v>
      </c>
    </row>
    <row r="2989" spans="1:3" x14ac:dyDescent="0.3">
      <c r="A2989" s="426">
        <v>43363</v>
      </c>
      <c r="B2989">
        <v>6425.18</v>
      </c>
      <c r="C2989" t="s">
        <v>3396</v>
      </c>
    </row>
    <row r="2990" spans="1:3" x14ac:dyDescent="0.3">
      <c r="A2990" s="426">
        <v>43364</v>
      </c>
      <c r="B2990">
        <v>6707.65</v>
      </c>
      <c r="C2990" t="s">
        <v>3397</v>
      </c>
    </row>
    <row r="2991" spans="1:3" x14ac:dyDescent="0.3">
      <c r="A2991" s="426">
        <v>43365</v>
      </c>
      <c r="B2991">
        <v>6713.57</v>
      </c>
      <c r="C2991" t="s">
        <v>3398</v>
      </c>
    </row>
    <row r="2992" spans="1:3" x14ac:dyDescent="0.3">
      <c r="A2992" s="426">
        <v>43366</v>
      </c>
      <c r="B2992">
        <v>6711.56</v>
      </c>
      <c r="C2992" t="s">
        <v>3399</v>
      </c>
    </row>
    <row r="2993" spans="1:3" x14ac:dyDescent="0.3">
      <c r="A2993" s="426">
        <v>43367</v>
      </c>
      <c r="B2993">
        <v>6632.97</v>
      </c>
      <c r="C2993" t="s">
        <v>3400</v>
      </c>
    </row>
    <row r="2994" spans="1:3" x14ac:dyDescent="0.3">
      <c r="A2994" s="426">
        <v>43368</v>
      </c>
      <c r="B2994">
        <v>6435.09</v>
      </c>
      <c r="C2994" t="s">
        <v>3401</v>
      </c>
    </row>
    <row r="2995" spans="1:3" x14ac:dyDescent="0.3">
      <c r="A2995" s="426">
        <v>43369</v>
      </c>
      <c r="B2995">
        <v>6493.82</v>
      </c>
      <c r="C2995" t="s">
        <v>3402</v>
      </c>
    </row>
    <row r="2996" spans="1:3" x14ac:dyDescent="0.3">
      <c r="A2996" s="426">
        <v>43370</v>
      </c>
      <c r="B2996">
        <v>6517.24</v>
      </c>
      <c r="C2996" t="s">
        <v>3403</v>
      </c>
    </row>
    <row r="2997" spans="1:3" x14ac:dyDescent="0.3">
      <c r="A2997" s="426">
        <v>43371</v>
      </c>
      <c r="B2997">
        <v>6666.75</v>
      </c>
      <c r="C2997" t="s">
        <v>3404</v>
      </c>
    </row>
    <row r="2998" spans="1:3" x14ac:dyDescent="0.3">
      <c r="A2998" s="426">
        <v>43372</v>
      </c>
      <c r="B2998">
        <v>6575.18</v>
      </c>
      <c r="C2998" t="s">
        <v>3405</v>
      </c>
    </row>
    <row r="2999" spans="1:3" x14ac:dyDescent="0.3">
      <c r="A2999" s="426">
        <v>43373</v>
      </c>
      <c r="B2999">
        <v>6599.64</v>
      </c>
      <c r="C2999" t="s">
        <v>3406</v>
      </c>
    </row>
    <row r="3000" spans="1:3" x14ac:dyDescent="0.3">
      <c r="A3000" s="426">
        <v>43374</v>
      </c>
      <c r="B3000">
        <v>6602.48</v>
      </c>
      <c r="C3000" t="s">
        <v>3407</v>
      </c>
    </row>
    <row r="3001" spans="1:3" x14ac:dyDescent="0.3">
      <c r="A3001" s="426">
        <v>43375</v>
      </c>
      <c r="B3001">
        <v>6575.31</v>
      </c>
      <c r="C3001" t="s">
        <v>3408</v>
      </c>
    </row>
    <row r="3002" spans="1:3" x14ac:dyDescent="0.3">
      <c r="A3002" s="426">
        <v>43376</v>
      </c>
      <c r="B3002">
        <v>6492.04</v>
      </c>
      <c r="C3002" t="s">
        <v>3409</v>
      </c>
    </row>
    <row r="3003" spans="1:3" x14ac:dyDescent="0.3">
      <c r="A3003" s="426">
        <v>43377</v>
      </c>
      <c r="B3003">
        <v>6582.11</v>
      </c>
      <c r="C3003" t="s">
        <v>3410</v>
      </c>
    </row>
    <row r="3004" spans="1:3" x14ac:dyDescent="0.3">
      <c r="A3004" s="426">
        <v>43378</v>
      </c>
      <c r="B3004">
        <v>6575.41</v>
      </c>
      <c r="C3004" t="s">
        <v>3411</v>
      </c>
    </row>
    <row r="3005" spans="1:3" x14ac:dyDescent="0.3">
      <c r="A3005" s="426">
        <v>43379</v>
      </c>
      <c r="B3005">
        <v>6598.67</v>
      </c>
      <c r="C3005" t="s">
        <v>3412</v>
      </c>
    </row>
    <row r="3006" spans="1:3" x14ac:dyDescent="0.3">
      <c r="A3006" s="426">
        <v>43380</v>
      </c>
      <c r="B3006">
        <v>6585.63</v>
      </c>
      <c r="C3006" t="s">
        <v>3413</v>
      </c>
    </row>
    <row r="3007" spans="1:3" x14ac:dyDescent="0.3">
      <c r="A3007" s="426">
        <v>43381</v>
      </c>
      <c r="B3007">
        <v>6637.73</v>
      </c>
      <c r="C3007" t="s">
        <v>3414</v>
      </c>
    </row>
    <row r="3008" spans="1:3" x14ac:dyDescent="0.3">
      <c r="A3008" s="426">
        <v>43382</v>
      </c>
      <c r="B3008">
        <v>6634.73</v>
      </c>
      <c r="C3008" t="s">
        <v>3415</v>
      </c>
    </row>
    <row r="3009" spans="1:3" x14ac:dyDescent="0.3">
      <c r="A3009" s="426">
        <v>43383</v>
      </c>
      <c r="B3009">
        <v>6573.53</v>
      </c>
      <c r="C3009" t="s">
        <v>3416</v>
      </c>
    </row>
    <row r="3010" spans="1:3" x14ac:dyDescent="0.3">
      <c r="A3010" s="426">
        <v>43384</v>
      </c>
      <c r="B3010">
        <v>6287.58</v>
      </c>
      <c r="C3010" t="s">
        <v>3417</v>
      </c>
    </row>
    <row r="3011" spans="1:3" x14ac:dyDescent="0.3">
      <c r="A3011" s="426">
        <v>43385</v>
      </c>
      <c r="B3011">
        <v>6290.82</v>
      </c>
      <c r="C3011" t="s">
        <v>3418</v>
      </c>
    </row>
    <row r="3012" spans="1:3" x14ac:dyDescent="0.3">
      <c r="A3012" s="426">
        <v>43386</v>
      </c>
      <c r="B3012">
        <v>6281.73</v>
      </c>
      <c r="C3012" t="s">
        <v>3419</v>
      </c>
    </row>
    <row r="3013" spans="1:3" x14ac:dyDescent="0.3">
      <c r="A3013" s="426">
        <v>43387</v>
      </c>
      <c r="B3013">
        <v>6317.43</v>
      </c>
      <c r="C3013" t="s">
        <v>3420</v>
      </c>
    </row>
    <row r="3014" spans="1:3" x14ac:dyDescent="0.3">
      <c r="A3014" s="426">
        <v>43388</v>
      </c>
      <c r="B3014">
        <v>6608.59</v>
      </c>
      <c r="C3014" t="s">
        <v>3421</v>
      </c>
    </row>
    <row r="3015" spans="1:3" x14ac:dyDescent="0.3">
      <c r="A3015" s="426">
        <v>43389</v>
      </c>
      <c r="B3015">
        <v>6590.68</v>
      </c>
      <c r="C3015" t="s">
        <v>3422</v>
      </c>
    </row>
    <row r="3016" spans="1:3" x14ac:dyDescent="0.3">
      <c r="A3016" s="426">
        <v>43390</v>
      </c>
      <c r="B3016">
        <v>6550.69</v>
      </c>
      <c r="C3016" t="s">
        <v>3423</v>
      </c>
    </row>
    <row r="3017" spans="1:3" x14ac:dyDescent="0.3">
      <c r="A3017" s="426">
        <v>43391</v>
      </c>
      <c r="B3017">
        <v>6539.09</v>
      </c>
      <c r="C3017" t="s">
        <v>3424</v>
      </c>
    </row>
    <row r="3018" spans="1:3" x14ac:dyDescent="0.3">
      <c r="A3018" s="426">
        <v>43392</v>
      </c>
      <c r="B3018">
        <v>6466.32</v>
      </c>
      <c r="C3018" t="s">
        <v>3425</v>
      </c>
    </row>
    <row r="3019" spans="1:3" x14ac:dyDescent="0.3">
      <c r="A3019" s="426">
        <v>43393</v>
      </c>
      <c r="B3019">
        <v>6475.25</v>
      </c>
      <c r="C3019" t="s">
        <v>3426</v>
      </c>
    </row>
    <row r="3020" spans="1:3" x14ac:dyDescent="0.3">
      <c r="A3020" s="426">
        <v>43394</v>
      </c>
      <c r="B3020">
        <v>6519.89</v>
      </c>
      <c r="C3020" t="s">
        <v>3427</v>
      </c>
    </row>
    <row r="3021" spans="1:3" x14ac:dyDescent="0.3">
      <c r="A3021" s="426">
        <v>43395</v>
      </c>
      <c r="B3021">
        <v>6487.44</v>
      </c>
      <c r="C3021" t="s">
        <v>3428</v>
      </c>
    </row>
    <row r="3022" spans="1:3" x14ac:dyDescent="0.3">
      <c r="A3022" s="426">
        <v>43396</v>
      </c>
      <c r="B3022">
        <v>6472.1</v>
      </c>
      <c r="C3022" t="s">
        <v>3429</v>
      </c>
    </row>
    <row r="3023" spans="1:3" x14ac:dyDescent="0.3">
      <c r="A3023" s="426">
        <v>43397</v>
      </c>
      <c r="B3023">
        <v>6497.15</v>
      </c>
      <c r="C3023" t="s">
        <v>3430</v>
      </c>
    </row>
    <row r="3024" spans="1:3" x14ac:dyDescent="0.3">
      <c r="A3024" s="426">
        <v>43398</v>
      </c>
      <c r="B3024">
        <v>6477.55</v>
      </c>
      <c r="C3024" t="s">
        <v>3431</v>
      </c>
    </row>
    <row r="3025" spans="1:3" x14ac:dyDescent="0.3">
      <c r="A3025" s="426">
        <v>43399</v>
      </c>
      <c r="B3025">
        <v>6472.71</v>
      </c>
      <c r="C3025" t="s">
        <v>3432</v>
      </c>
    </row>
    <row r="3026" spans="1:3" x14ac:dyDescent="0.3">
      <c r="A3026" s="426">
        <v>43400</v>
      </c>
      <c r="B3026">
        <v>6481.15</v>
      </c>
      <c r="C3026" t="s">
        <v>3433</v>
      </c>
    </row>
    <row r="3027" spans="1:3" x14ac:dyDescent="0.3">
      <c r="A3027" s="426">
        <v>43401</v>
      </c>
      <c r="B3027">
        <v>6477.7</v>
      </c>
      <c r="C3027" t="s">
        <v>3434</v>
      </c>
    </row>
    <row r="3028" spans="1:3" x14ac:dyDescent="0.3">
      <c r="A3028" s="426">
        <v>43402</v>
      </c>
      <c r="B3028">
        <v>6412.18</v>
      </c>
      <c r="C3028" t="s">
        <v>3435</v>
      </c>
    </row>
    <row r="3029" spans="1:3" x14ac:dyDescent="0.3">
      <c r="A3029" s="426">
        <v>43403</v>
      </c>
      <c r="B3029">
        <v>6334.83</v>
      </c>
      <c r="C3029" t="s">
        <v>3436</v>
      </c>
    </row>
    <row r="3030" spans="1:3" x14ac:dyDescent="0.3">
      <c r="A3030" s="426">
        <v>43404</v>
      </c>
      <c r="B3030">
        <v>6328.46</v>
      </c>
      <c r="C3030" t="s">
        <v>3437</v>
      </c>
    </row>
    <row r="3031" spans="1:3" x14ac:dyDescent="0.3">
      <c r="A3031" s="426">
        <v>43405</v>
      </c>
      <c r="B3031">
        <v>6387.99</v>
      </c>
      <c r="C3031" t="s">
        <v>3438</v>
      </c>
    </row>
    <row r="3032" spans="1:3" x14ac:dyDescent="0.3">
      <c r="A3032" s="426">
        <v>43406</v>
      </c>
      <c r="B3032">
        <v>6370.64</v>
      </c>
      <c r="C3032" t="s">
        <v>3439</v>
      </c>
    </row>
    <row r="3033" spans="1:3" x14ac:dyDescent="0.3">
      <c r="A3033" s="426">
        <v>43407</v>
      </c>
      <c r="B3033">
        <v>6365.59</v>
      </c>
      <c r="C3033" t="s">
        <v>3440</v>
      </c>
    </row>
    <row r="3034" spans="1:3" x14ac:dyDescent="0.3">
      <c r="A3034" s="426">
        <v>43408</v>
      </c>
      <c r="B3034">
        <v>6355.19</v>
      </c>
      <c r="C3034" t="s">
        <v>3441</v>
      </c>
    </row>
    <row r="3035" spans="1:3" x14ac:dyDescent="0.3">
      <c r="A3035" s="426">
        <v>43409</v>
      </c>
      <c r="B3035">
        <v>6434.3</v>
      </c>
      <c r="C3035" t="s">
        <v>3442</v>
      </c>
    </row>
    <row r="3036" spans="1:3" x14ac:dyDescent="0.3">
      <c r="A3036" s="426">
        <v>43410</v>
      </c>
      <c r="B3036">
        <v>6433.47</v>
      </c>
      <c r="C3036" t="s">
        <v>3443</v>
      </c>
    </row>
    <row r="3037" spans="1:3" x14ac:dyDescent="0.3">
      <c r="A3037" s="426">
        <v>43411</v>
      </c>
      <c r="B3037">
        <v>6531.39</v>
      </c>
      <c r="C3037" t="s">
        <v>3444</v>
      </c>
    </row>
    <row r="3038" spans="1:3" x14ac:dyDescent="0.3">
      <c r="A3038" s="426">
        <v>43412</v>
      </c>
      <c r="B3038">
        <v>6484.22</v>
      </c>
      <c r="C3038" t="s">
        <v>3445</v>
      </c>
    </row>
    <row r="3039" spans="1:3" x14ac:dyDescent="0.3">
      <c r="A3039" s="426">
        <v>43413</v>
      </c>
      <c r="B3039">
        <v>6405.74</v>
      </c>
      <c r="C3039" t="s">
        <v>3446</v>
      </c>
    </row>
    <row r="3040" spans="1:3" x14ac:dyDescent="0.3">
      <c r="A3040" s="426">
        <v>43414</v>
      </c>
      <c r="B3040">
        <v>6410.64</v>
      </c>
      <c r="C3040" t="s">
        <v>3447</v>
      </c>
    </row>
    <row r="3041" spans="1:3" x14ac:dyDescent="0.3">
      <c r="A3041" s="426">
        <v>43415</v>
      </c>
      <c r="B3041">
        <v>6393.74</v>
      </c>
      <c r="C3041" t="s">
        <v>3448</v>
      </c>
    </row>
    <row r="3042" spans="1:3" x14ac:dyDescent="0.3">
      <c r="A3042" s="426">
        <v>43416</v>
      </c>
      <c r="B3042">
        <v>6404.88</v>
      </c>
      <c r="C3042" t="s">
        <v>3449</v>
      </c>
    </row>
    <row r="3043" spans="1:3" x14ac:dyDescent="0.3">
      <c r="A3043" s="426">
        <v>43417</v>
      </c>
      <c r="B3043">
        <v>6367.6</v>
      </c>
      <c r="C3043" t="s">
        <v>3450</v>
      </c>
    </row>
    <row r="3044" spans="1:3" x14ac:dyDescent="0.3">
      <c r="A3044" s="426">
        <v>43418</v>
      </c>
      <c r="B3044">
        <v>6285.97</v>
      </c>
      <c r="C3044" t="s">
        <v>3451</v>
      </c>
    </row>
    <row r="3045" spans="1:3" x14ac:dyDescent="0.3">
      <c r="A3045" s="426">
        <v>43419</v>
      </c>
      <c r="B3045">
        <v>5600.62</v>
      </c>
      <c r="C3045" t="s">
        <v>3452</v>
      </c>
    </row>
    <row r="3046" spans="1:3" x14ac:dyDescent="0.3">
      <c r="A3046" s="426">
        <v>43420</v>
      </c>
      <c r="B3046">
        <v>5600.08</v>
      </c>
      <c r="C3046" t="s">
        <v>3453</v>
      </c>
    </row>
    <row r="3047" spans="1:3" x14ac:dyDescent="0.3">
      <c r="A3047" s="426">
        <v>43421</v>
      </c>
      <c r="B3047">
        <v>5544.09</v>
      </c>
      <c r="C3047" t="s">
        <v>3454</v>
      </c>
    </row>
    <row r="3048" spans="1:3" x14ac:dyDescent="0.3">
      <c r="A3048" s="426">
        <v>43422</v>
      </c>
      <c r="B3048">
        <v>5602.92</v>
      </c>
      <c r="C3048" t="s">
        <v>3455</v>
      </c>
    </row>
    <row r="3049" spans="1:3" x14ac:dyDescent="0.3">
      <c r="A3049" s="426">
        <v>43423</v>
      </c>
      <c r="B3049">
        <v>5307.13</v>
      </c>
      <c r="C3049" t="s">
        <v>3456</v>
      </c>
    </row>
    <row r="3050" spans="1:3" x14ac:dyDescent="0.3">
      <c r="A3050" s="426">
        <v>43424</v>
      </c>
      <c r="B3050">
        <v>4596.8999999999996</v>
      </c>
      <c r="C3050" t="s">
        <v>3457</v>
      </c>
    </row>
    <row r="3051" spans="1:3" x14ac:dyDescent="0.3">
      <c r="A3051" s="426">
        <v>43425</v>
      </c>
      <c r="B3051">
        <v>4507.5200000000004</v>
      </c>
      <c r="C3051" t="s">
        <v>3458</v>
      </c>
    </row>
    <row r="3052" spans="1:3" x14ac:dyDescent="0.3">
      <c r="A3052" s="426">
        <v>43426</v>
      </c>
      <c r="B3052">
        <v>4514.26</v>
      </c>
      <c r="C3052" t="s">
        <v>3459</v>
      </c>
    </row>
    <row r="3053" spans="1:3" x14ac:dyDescent="0.3">
      <c r="A3053" s="426">
        <v>43427</v>
      </c>
      <c r="B3053">
        <v>4304.3599999999997</v>
      </c>
      <c r="C3053" t="s">
        <v>3460</v>
      </c>
    </row>
    <row r="3054" spans="1:3" x14ac:dyDescent="0.3">
      <c r="A3054" s="426">
        <v>43428</v>
      </c>
      <c r="B3054">
        <v>4318.34</v>
      </c>
      <c r="C3054" t="s">
        <v>3461</v>
      </c>
    </row>
    <row r="3055" spans="1:3" x14ac:dyDescent="0.3">
      <c r="A3055" s="426">
        <v>43429</v>
      </c>
      <c r="B3055">
        <v>3810.65</v>
      </c>
      <c r="C3055" t="s">
        <v>3462</v>
      </c>
    </row>
    <row r="3056" spans="1:3" x14ac:dyDescent="0.3">
      <c r="A3056" s="426">
        <v>43430</v>
      </c>
      <c r="B3056">
        <v>3970.73</v>
      </c>
      <c r="C3056" t="s">
        <v>3463</v>
      </c>
    </row>
    <row r="3057" spans="1:3" x14ac:dyDescent="0.3">
      <c r="A3057" s="426">
        <v>43431</v>
      </c>
      <c r="B3057">
        <v>3747.75</v>
      </c>
      <c r="C3057" t="s">
        <v>3464</v>
      </c>
    </row>
    <row r="3058" spans="1:3" x14ac:dyDescent="0.3">
      <c r="A3058" s="426">
        <v>43432</v>
      </c>
      <c r="B3058">
        <v>4055.82</v>
      </c>
      <c r="C3058" t="s">
        <v>3465</v>
      </c>
    </row>
    <row r="3059" spans="1:3" x14ac:dyDescent="0.3">
      <c r="A3059" s="426">
        <v>43433</v>
      </c>
      <c r="B3059">
        <v>4252.63</v>
      </c>
      <c r="C3059" t="s">
        <v>3466</v>
      </c>
    </row>
    <row r="3060" spans="1:3" x14ac:dyDescent="0.3">
      <c r="A3060" s="426">
        <v>43434</v>
      </c>
      <c r="B3060">
        <v>4045.47</v>
      </c>
      <c r="C3060" t="s">
        <v>3467</v>
      </c>
    </row>
    <row r="3061" spans="1:3" x14ac:dyDescent="0.3">
      <c r="A3061" s="426">
        <v>43435</v>
      </c>
      <c r="B3061">
        <v>4172.26</v>
      </c>
      <c r="C3061" t="s">
        <v>3468</v>
      </c>
    </row>
    <row r="3062" spans="1:3" x14ac:dyDescent="0.3">
      <c r="A3062" s="426">
        <v>43436</v>
      </c>
      <c r="B3062">
        <v>4164.75</v>
      </c>
      <c r="C3062" t="s">
        <v>3469</v>
      </c>
    </row>
    <row r="3063" spans="1:3" x14ac:dyDescent="0.3">
      <c r="A3063" s="426">
        <v>43437</v>
      </c>
      <c r="B3063">
        <v>4008.78</v>
      </c>
      <c r="C3063" t="s">
        <v>3470</v>
      </c>
    </row>
    <row r="3064" spans="1:3" x14ac:dyDescent="0.3">
      <c r="A3064" s="426">
        <v>43438</v>
      </c>
      <c r="B3064">
        <v>3969.5</v>
      </c>
      <c r="C3064" t="s">
        <v>3471</v>
      </c>
    </row>
    <row r="3065" spans="1:3" x14ac:dyDescent="0.3">
      <c r="A3065" s="426">
        <v>43439</v>
      </c>
      <c r="B3065">
        <v>3880.64</v>
      </c>
      <c r="C3065" t="s">
        <v>3472</v>
      </c>
    </row>
    <row r="3066" spans="1:3" x14ac:dyDescent="0.3">
      <c r="A3066" s="426">
        <v>43440</v>
      </c>
      <c r="B3066">
        <v>3765.61</v>
      </c>
      <c r="C3066" t="s">
        <v>3473</v>
      </c>
    </row>
    <row r="3067" spans="1:3" x14ac:dyDescent="0.3">
      <c r="A3067" s="426">
        <v>43441</v>
      </c>
      <c r="B3067">
        <v>3419.94</v>
      </c>
      <c r="C3067" t="s">
        <v>3474</v>
      </c>
    </row>
    <row r="3068" spans="1:3" x14ac:dyDescent="0.3">
      <c r="A3068" s="426">
        <v>43442</v>
      </c>
      <c r="B3068">
        <v>3434.59</v>
      </c>
      <c r="C3068" t="s">
        <v>3475</v>
      </c>
    </row>
    <row r="3069" spans="1:3" x14ac:dyDescent="0.3">
      <c r="A3069" s="426">
        <v>43443</v>
      </c>
      <c r="B3069">
        <v>3510.91</v>
      </c>
      <c r="C3069" t="s">
        <v>3476</v>
      </c>
    </row>
    <row r="3070" spans="1:3" x14ac:dyDescent="0.3">
      <c r="A3070" s="426">
        <v>43444</v>
      </c>
      <c r="B3070">
        <v>3554.81</v>
      </c>
      <c r="C3070" t="s">
        <v>3477</v>
      </c>
    </row>
    <row r="3071" spans="1:3" x14ac:dyDescent="0.3">
      <c r="A3071" s="426">
        <v>43445</v>
      </c>
      <c r="B3071">
        <v>3435.96</v>
      </c>
      <c r="C3071" t="s">
        <v>3478</v>
      </c>
    </row>
    <row r="3072" spans="1:3" x14ac:dyDescent="0.3">
      <c r="A3072" s="426">
        <v>43446</v>
      </c>
      <c r="B3072">
        <v>3478.58</v>
      </c>
      <c r="C3072" t="s">
        <v>3479</v>
      </c>
    </row>
    <row r="3073" spans="1:3" x14ac:dyDescent="0.3">
      <c r="A3073" s="426">
        <v>43447</v>
      </c>
      <c r="B3073">
        <v>3425.28</v>
      </c>
      <c r="C3073" t="s">
        <v>3480</v>
      </c>
    </row>
    <row r="3074" spans="1:3" x14ac:dyDescent="0.3">
      <c r="A3074" s="426">
        <v>43448</v>
      </c>
      <c r="B3074">
        <v>3301.47</v>
      </c>
      <c r="C3074" t="s">
        <v>3481</v>
      </c>
    </row>
    <row r="3075" spans="1:3" x14ac:dyDescent="0.3">
      <c r="A3075" s="426">
        <v>43449</v>
      </c>
      <c r="B3075">
        <v>3235.52</v>
      </c>
      <c r="C3075" t="s">
        <v>3482</v>
      </c>
    </row>
    <row r="3076" spans="1:3" x14ac:dyDescent="0.3">
      <c r="A3076" s="426">
        <v>43450</v>
      </c>
      <c r="B3076">
        <v>3275.1</v>
      </c>
      <c r="C3076" t="s">
        <v>3483</v>
      </c>
    </row>
    <row r="3077" spans="1:3" x14ac:dyDescent="0.3">
      <c r="A3077" s="426">
        <v>43451</v>
      </c>
      <c r="B3077">
        <v>3374.81</v>
      </c>
      <c r="C3077" t="s">
        <v>3484</v>
      </c>
    </row>
    <row r="3078" spans="1:3" x14ac:dyDescent="0.3">
      <c r="A3078" s="426">
        <v>43452</v>
      </c>
      <c r="B3078">
        <v>3549.8</v>
      </c>
      <c r="C3078" t="s">
        <v>3485</v>
      </c>
    </row>
    <row r="3079" spans="1:3" x14ac:dyDescent="0.3">
      <c r="A3079" s="426">
        <v>43453</v>
      </c>
      <c r="B3079">
        <v>3780.77</v>
      </c>
      <c r="C3079" t="s">
        <v>3486</v>
      </c>
    </row>
    <row r="3080" spans="1:3" x14ac:dyDescent="0.3">
      <c r="A3080" s="426">
        <v>43454</v>
      </c>
      <c r="B3080">
        <v>4072.97</v>
      </c>
      <c r="C3080" t="s">
        <v>3487</v>
      </c>
    </row>
    <row r="3081" spans="1:3" x14ac:dyDescent="0.3">
      <c r="A3081" s="426">
        <v>43455</v>
      </c>
      <c r="B3081">
        <v>4049.07</v>
      </c>
      <c r="C3081" t="s">
        <v>3488</v>
      </c>
    </row>
    <row r="3082" spans="1:3" x14ac:dyDescent="0.3">
      <c r="A3082" s="426">
        <v>43456</v>
      </c>
      <c r="B3082">
        <v>3902.58</v>
      </c>
      <c r="C3082" t="s">
        <v>3489</v>
      </c>
    </row>
    <row r="3083" spans="1:3" x14ac:dyDescent="0.3">
      <c r="A3083" s="426">
        <v>43457</v>
      </c>
      <c r="B3083">
        <v>4031.21</v>
      </c>
      <c r="C3083" t="s">
        <v>3490</v>
      </c>
    </row>
    <row r="3084" spans="1:3" x14ac:dyDescent="0.3">
      <c r="A3084" s="426">
        <v>43458</v>
      </c>
      <c r="B3084">
        <v>4190.83</v>
      </c>
      <c r="C3084" t="s">
        <v>3491</v>
      </c>
    </row>
    <row r="3085" spans="1:3" x14ac:dyDescent="0.3">
      <c r="A3085" s="426">
        <v>43459</v>
      </c>
      <c r="B3085">
        <v>3817.49</v>
      </c>
      <c r="C3085" t="s">
        <v>3492</v>
      </c>
    </row>
    <row r="3086" spans="1:3" x14ac:dyDescent="0.3">
      <c r="A3086" s="426">
        <v>43460</v>
      </c>
      <c r="B3086">
        <v>3822.6</v>
      </c>
      <c r="C3086" t="s">
        <v>3493</v>
      </c>
    </row>
    <row r="3087" spans="1:3" x14ac:dyDescent="0.3">
      <c r="A3087" s="426">
        <v>43461</v>
      </c>
      <c r="B3087">
        <v>3796.9</v>
      </c>
      <c r="C3087" t="s">
        <v>3494</v>
      </c>
    </row>
    <row r="3088" spans="1:3" x14ac:dyDescent="0.3">
      <c r="A3088" s="426">
        <v>43462</v>
      </c>
      <c r="B3088">
        <v>3671.78</v>
      </c>
      <c r="C3088" t="s">
        <v>3495</v>
      </c>
    </row>
    <row r="3089" spans="1:3" x14ac:dyDescent="0.3">
      <c r="A3089" s="426">
        <v>43463</v>
      </c>
      <c r="B3089">
        <v>3926.73</v>
      </c>
      <c r="C3089" t="s">
        <v>3496</v>
      </c>
    </row>
    <row r="3090" spans="1:3" x14ac:dyDescent="0.3">
      <c r="A3090" s="426">
        <v>43464</v>
      </c>
      <c r="B3090">
        <v>3862.62</v>
      </c>
      <c r="C3090" t="s">
        <v>3497</v>
      </c>
    </row>
    <row r="3091" spans="1:3" x14ac:dyDescent="0.3">
      <c r="A3091" s="426">
        <v>43465</v>
      </c>
      <c r="B3091">
        <v>3806.18</v>
      </c>
      <c r="C3091" t="s">
        <v>3498</v>
      </c>
    </row>
    <row r="3092" spans="1:3" x14ac:dyDescent="0.3">
      <c r="A3092" s="426">
        <v>43466</v>
      </c>
      <c r="B3092">
        <v>3749.5</v>
      </c>
      <c r="C3092" t="s">
        <v>3499</v>
      </c>
    </row>
    <row r="3093" spans="1:3" x14ac:dyDescent="0.3">
      <c r="A3093" s="426">
        <v>43467</v>
      </c>
      <c r="B3093">
        <v>3849</v>
      </c>
      <c r="C3093" t="s">
        <v>3500</v>
      </c>
    </row>
    <row r="3094" spans="1:3" x14ac:dyDescent="0.3">
      <c r="A3094" s="426">
        <v>43468</v>
      </c>
      <c r="B3094">
        <v>3887.71</v>
      </c>
      <c r="C3094" t="s">
        <v>3501</v>
      </c>
    </row>
    <row r="3095" spans="1:3" x14ac:dyDescent="0.3">
      <c r="A3095" s="426">
        <v>43469</v>
      </c>
      <c r="B3095">
        <v>3830.66</v>
      </c>
      <c r="C3095" t="s">
        <v>3502</v>
      </c>
    </row>
    <row r="3096" spans="1:3" x14ac:dyDescent="0.3">
      <c r="A3096" s="426">
        <v>43470</v>
      </c>
      <c r="B3096">
        <v>3873.54</v>
      </c>
      <c r="C3096" t="s">
        <v>3503</v>
      </c>
    </row>
    <row r="3097" spans="1:3" x14ac:dyDescent="0.3">
      <c r="A3097" s="426">
        <v>43471</v>
      </c>
      <c r="B3097">
        <v>3859.37</v>
      </c>
      <c r="C3097" t="s">
        <v>3504</v>
      </c>
    </row>
    <row r="3098" spans="1:3" x14ac:dyDescent="0.3">
      <c r="A3098" s="426">
        <v>43472</v>
      </c>
      <c r="B3098">
        <v>4042.89</v>
      </c>
      <c r="C3098" t="s">
        <v>3505</v>
      </c>
    </row>
    <row r="3099" spans="1:3" x14ac:dyDescent="0.3">
      <c r="A3099" s="426">
        <v>43473</v>
      </c>
      <c r="B3099">
        <v>4035.37</v>
      </c>
      <c r="C3099" t="s">
        <v>3506</v>
      </c>
    </row>
    <row r="3100" spans="1:3" x14ac:dyDescent="0.3">
      <c r="A3100" s="426">
        <v>43474</v>
      </c>
      <c r="B3100">
        <v>4043.87</v>
      </c>
      <c r="C3100" t="s">
        <v>3507</v>
      </c>
    </row>
    <row r="3101" spans="1:3" x14ac:dyDescent="0.3">
      <c r="A3101" s="426">
        <v>43475</v>
      </c>
      <c r="B3101">
        <v>3824.86</v>
      </c>
      <c r="C3101" t="s">
        <v>3508</v>
      </c>
    </row>
    <row r="3102" spans="1:3" x14ac:dyDescent="0.3">
      <c r="A3102" s="426">
        <v>43476</v>
      </c>
      <c r="B3102">
        <v>3690.23</v>
      </c>
      <c r="C3102" t="s">
        <v>3509</v>
      </c>
    </row>
    <row r="3103" spans="1:3" x14ac:dyDescent="0.3">
      <c r="A3103" s="426">
        <v>43477</v>
      </c>
      <c r="B3103">
        <v>3668.78</v>
      </c>
      <c r="C3103" t="s">
        <v>3510</v>
      </c>
    </row>
    <row r="3104" spans="1:3" x14ac:dyDescent="0.3">
      <c r="A3104" s="426">
        <v>43478</v>
      </c>
      <c r="B3104">
        <v>3660.3</v>
      </c>
      <c r="C3104" t="s">
        <v>3511</v>
      </c>
    </row>
    <row r="3105" spans="1:3" x14ac:dyDescent="0.3">
      <c r="A3105" s="426">
        <v>43479</v>
      </c>
      <c r="B3105">
        <v>3590.71</v>
      </c>
      <c r="C3105" t="s">
        <v>3512</v>
      </c>
    </row>
    <row r="3106" spans="1:3" x14ac:dyDescent="0.3">
      <c r="A3106" s="426">
        <v>43480</v>
      </c>
      <c r="B3106">
        <v>3682.63</v>
      </c>
      <c r="C3106" t="s">
        <v>3513</v>
      </c>
    </row>
    <row r="3107" spans="1:3" x14ac:dyDescent="0.3">
      <c r="A3107" s="426">
        <v>43481</v>
      </c>
      <c r="B3107">
        <v>3650.85</v>
      </c>
      <c r="C3107" t="s">
        <v>3514</v>
      </c>
    </row>
    <row r="3108" spans="1:3" x14ac:dyDescent="0.3">
      <c r="A3108" s="426">
        <v>43482</v>
      </c>
      <c r="B3108">
        <v>3640.41</v>
      </c>
      <c r="C3108" t="s">
        <v>3515</v>
      </c>
    </row>
    <row r="3109" spans="1:3" x14ac:dyDescent="0.3">
      <c r="A3109" s="426">
        <v>43483</v>
      </c>
      <c r="B3109">
        <v>3660.44</v>
      </c>
      <c r="C3109" t="s">
        <v>3516</v>
      </c>
    </row>
    <row r="3110" spans="1:3" x14ac:dyDescent="0.3">
      <c r="A3110" s="426">
        <v>43484</v>
      </c>
      <c r="B3110">
        <v>3736.21</v>
      </c>
      <c r="C3110" t="s">
        <v>3517</v>
      </c>
    </row>
    <row r="3111" spans="1:3" x14ac:dyDescent="0.3">
      <c r="A3111" s="426">
        <v>43485</v>
      </c>
      <c r="B3111">
        <v>3653.18</v>
      </c>
      <c r="C3111" t="s">
        <v>3518</v>
      </c>
    </row>
    <row r="3112" spans="1:3" x14ac:dyDescent="0.3">
      <c r="A3112" s="426">
        <v>43486</v>
      </c>
      <c r="B3112">
        <v>3581.32</v>
      </c>
      <c r="C3112" t="s">
        <v>3519</v>
      </c>
    </row>
    <row r="3113" spans="1:3" x14ac:dyDescent="0.3">
      <c r="A3113" s="426">
        <v>43487</v>
      </c>
      <c r="B3113">
        <v>3581.9</v>
      </c>
      <c r="C3113" t="s">
        <v>3520</v>
      </c>
    </row>
    <row r="3114" spans="1:3" x14ac:dyDescent="0.3">
      <c r="A3114" s="426">
        <v>43488</v>
      </c>
      <c r="B3114">
        <v>3604.17</v>
      </c>
      <c r="C3114" t="s">
        <v>3521</v>
      </c>
    </row>
    <row r="3115" spans="1:3" x14ac:dyDescent="0.3">
      <c r="A3115" s="426">
        <v>43489</v>
      </c>
      <c r="B3115">
        <v>3589.31</v>
      </c>
      <c r="C3115" t="s">
        <v>3522</v>
      </c>
    </row>
    <row r="3116" spans="1:3" x14ac:dyDescent="0.3">
      <c r="A3116" s="426">
        <v>43490</v>
      </c>
      <c r="B3116">
        <v>3595.47</v>
      </c>
      <c r="C3116" t="s">
        <v>3523</v>
      </c>
    </row>
    <row r="3117" spans="1:3" x14ac:dyDescent="0.3">
      <c r="A3117" s="426">
        <v>43491</v>
      </c>
      <c r="B3117">
        <v>3611.14</v>
      </c>
      <c r="C3117" t="s">
        <v>3524</v>
      </c>
    </row>
    <row r="3118" spans="1:3" x14ac:dyDescent="0.3">
      <c r="A3118" s="426">
        <v>43492</v>
      </c>
      <c r="B3118">
        <v>3595.08</v>
      </c>
      <c r="C3118" t="s">
        <v>3525</v>
      </c>
    </row>
    <row r="3119" spans="1:3" x14ac:dyDescent="0.3">
      <c r="A3119" s="426">
        <v>43493</v>
      </c>
      <c r="B3119">
        <v>3470.98</v>
      </c>
      <c r="C3119" t="s">
        <v>3526</v>
      </c>
    </row>
    <row r="3120" spans="1:3" x14ac:dyDescent="0.3">
      <c r="A3120" s="426">
        <v>43494</v>
      </c>
      <c r="B3120">
        <v>3449.3</v>
      </c>
      <c r="C3120" t="s">
        <v>3527</v>
      </c>
    </row>
    <row r="3121" spans="1:3" x14ac:dyDescent="0.3">
      <c r="A3121" s="426">
        <v>43495</v>
      </c>
      <c r="B3121">
        <v>3477.95</v>
      </c>
      <c r="C3121" t="s">
        <v>3528</v>
      </c>
    </row>
    <row r="3122" spans="1:3" x14ac:dyDescent="0.3">
      <c r="A3122" s="426">
        <v>43496</v>
      </c>
      <c r="B3122">
        <v>3467.2</v>
      </c>
      <c r="C3122" t="s">
        <v>3529</v>
      </c>
    </row>
    <row r="3123" spans="1:3" x14ac:dyDescent="0.3">
      <c r="A3123" s="426">
        <v>43497</v>
      </c>
      <c r="B3123">
        <v>3475.16</v>
      </c>
      <c r="C3123" t="s">
        <v>3530</v>
      </c>
    </row>
    <row r="3124" spans="1:3" x14ac:dyDescent="0.3">
      <c r="A3124" s="426">
        <v>43498</v>
      </c>
      <c r="B3124">
        <v>3484.89</v>
      </c>
      <c r="C3124" t="s">
        <v>3531</v>
      </c>
    </row>
    <row r="3125" spans="1:3" x14ac:dyDescent="0.3">
      <c r="A3125" s="426">
        <v>43499</v>
      </c>
      <c r="B3125">
        <v>3478.06</v>
      </c>
      <c r="C3125" t="s">
        <v>3532</v>
      </c>
    </row>
    <row r="3126" spans="1:3" x14ac:dyDescent="0.3">
      <c r="A3126" s="426">
        <v>43500</v>
      </c>
      <c r="B3126">
        <v>3464.04</v>
      </c>
      <c r="C3126" t="s">
        <v>3533</v>
      </c>
    </row>
    <row r="3127" spans="1:3" x14ac:dyDescent="0.3">
      <c r="A3127" s="426">
        <v>43501</v>
      </c>
      <c r="B3127">
        <v>3462.34</v>
      </c>
      <c r="C3127" t="s">
        <v>3534</v>
      </c>
    </row>
    <row r="3128" spans="1:3" x14ac:dyDescent="0.3">
      <c r="A3128" s="426">
        <v>43502</v>
      </c>
      <c r="B3128">
        <v>3413.97</v>
      </c>
      <c r="C3128" t="s">
        <v>3535</v>
      </c>
    </row>
    <row r="3129" spans="1:3" x14ac:dyDescent="0.3">
      <c r="A3129" s="426">
        <v>43503</v>
      </c>
      <c r="B3129">
        <v>3414.54</v>
      </c>
      <c r="C3129" t="s">
        <v>3536</v>
      </c>
    </row>
    <row r="3130" spans="1:3" x14ac:dyDescent="0.3">
      <c r="A3130" s="426">
        <v>43504</v>
      </c>
      <c r="B3130">
        <v>3450.25</v>
      </c>
      <c r="C3130" t="s">
        <v>3537</v>
      </c>
    </row>
    <row r="3131" spans="1:3" x14ac:dyDescent="0.3">
      <c r="A3131" s="426">
        <v>43505</v>
      </c>
      <c r="B3131">
        <v>3664.35</v>
      </c>
      <c r="C3131" t="s">
        <v>3538</v>
      </c>
    </row>
    <row r="3132" spans="1:3" x14ac:dyDescent="0.3">
      <c r="A3132" s="426">
        <v>43506</v>
      </c>
      <c r="B3132">
        <v>3657.38</v>
      </c>
      <c r="C3132" t="s">
        <v>3539</v>
      </c>
    </row>
    <row r="3133" spans="1:3" x14ac:dyDescent="0.3">
      <c r="A3133" s="426">
        <v>43507</v>
      </c>
      <c r="B3133">
        <v>3654.79</v>
      </c>
      <c r="C3133" t="s">
        <v>3540</v>
      </c>
    </row>
    <row r="3134" spans="1:3" x14ac:dyDescent="0.3">
      <c r="A3134" s="426">
        <v>43508</v>
      </c>
      <c r="B3134">
        <v>3635.5</v>
      </c>
      <c r="C3134" t="s">
        <v>3541</v>
      </c>
    </row>
    <row r="3135" spans="1:3" x14ac:dyDescent="0.3">
      <c r="A3135" s="426">
        <v>43509</v>
      </c>
      <c r="B3135">
        <v>3632.74</v>
      </c>
      <c r="C3135" t="s">
        <v>3542</v>
      </c>
    </row>
    <row r="3136" spans="1:3" x14ac:dyDescent="0.3">
      <c r="A3136" s="426">
        <v>43510</v>
      </c>
      <c r="B3136">
        <v>3626.26</v>
      </c>
      <c r="C3136" t="s">
        <v>3543</v>
      </c>
    </row>
    <row r="3137" spans="1:3" x14ac:dyDescent="0.3">
      <c r="A3137" s="426">
        <v>43511</v>
      </c>
      <c r="B3137">
        <v>3627.52</v>
      </c>
      <c r="C3137" t="s">
        <v>3544</v>
      </c>
    </row>
    <row r="3138" spans="1:3" x14ac:dyDescent="0.3">
      <c r="A3138" s="426">
        <v>43512</v>
      </c>
      <c r="B3138">
        <v>3637.51</v>
      </c>
      <c r="C3138" t="s">
        <v>3545</v>
      </c>
    </row>
    <row r="3139" spans="1:3" x14ac:dyDescent="0.3">
      <c r="A3139" s="426">
        <v>43513</v>
      </c>
      <c r="B3139">
        <v>3635.82</v>
      </c>
      <c r="C3139" t="s">
        <v>3546</v>
      </c>
    </row>
    <row r="3140" spans="1:3" x14ac:dyDescent="0.3">
      <c r="A3140" s="426">
        <v>43514</v>
      </c>
      <c r="B3140">
        <v>3760.32</v>
      </c>
      <c r="C3140" t="s">
        <v>3547</v>
      </c>
    </row>
    <row r="3141" spans="1:3" x14ac:dyDescent="0.3">
      <c r="A3141" s="426">
        <v>43515</v>
      </c>
      <c r="B3141">
        <v>3942.83</v>
      </c>
      <c r="C3141" t="s">
        <v>3548</v>
      </c>
    </row>
    <row r="3142" spans="1:3" x14ac:dyDescent="0.3">
      <c r="A3142" s="426">
        <v>43516</v>
      </c>
      <c r="B3142">
        <v>3971.09</v>
      </c>
      <c r="C3142" t="s">
        <v>3549</v>
      </c>
    </row>
    <row r="3143" spans="1:3" x14ac:dyDescent="0.3">
      <c r="A3143" s="426">
        <v>43517</v>
      </c>
      <c r="B3143">
        <v>3957.12</v>
      </c>
      <c r="C3143" t="s">
        <v>3550</v>
      </c>
    </row>
    <row r="3144" spans="1:3" x14ac:dyDescent="0.3">
      <c r="A3144" s="426">
        <v>43518</v>
      </c>
      <c r="B3144">
        <v>3984.59</v>
      </c>
      <c r="C3144" t="s">
        <v>3551</v>
      </c>
    </row>
    <row r="3145" spans="1:3" x14ac:dyDescent="0.3">
      <c r="A3145" s="426">
        <v>43519</v>
      </c>
      <c r="B3145">
        <v>3990.57</v>
      </c>
      <c r="C3145" t="s">
        <v>3552</v>
      </c>
    </row>
    <row r="3146" spans="1:3" x14ac:dyDescent="0.3">
      <c r="A3146" s="426">
        <v>43520</v>
      </c>
      <c r="B3146">
        <v>4154.07</v>
      </c>
      <c r="C3146" t="s">
        <v>3553</v>
      </c>
    </row>
    <row r="3147" spans="1:3" x14ac:dyDescent="0.3">
      <c r="A3147" s="426">
        <v>43521</v>
      </c>
      <c r="B3147">
        <v>3844.48</v>
      </c>
      <c r="C3147" t="s">
        <v>3554</v>
      </c>
    </row>
    <row r="3148" spans="1:3" x14ac:dyDescent="0.3">
      <c r="A3148" s="426">
        <v>43522</v>
      </c>
      <c r="B3148">
        <v>3858.36</v>
      </c>
      <c r="C3148" t="s">
        <v>3555</v>
      </c>
    </row>
    <row r="3149" spans="1:3" x14ac:dyDescent="0.3">
      <c r="A3149" s="426">
        <v>43523</v>
      </c>
      <c r="B3149">
        <v>3858.38</v>
      </c>
      <c r="C3149" t="s">
        <v>3556</v>
      </c>
    </row>
    <row r="3150" spans="1:3" x14ac:dyDescent="0.3">
      <c r="A3150" s="426">
        <v>43524</v>
      </c>
      <c r="B3150">
        <v>3861.84</v>
      </c>
      <c r="C3150" t="s">
        <v>3557</v>
      </c>
    </row>
    <row r="3151" spans="1:3" x14ac:dyDescent="0.3">
      <c r="A3151" s="426">
        <v>43525</v>
      </c>
      <c r="B3151">
        <v>3870.34</v>
      </c>
      <c r="C3151" t="s">
        <v>3558</v>
      </c>
    </row>
    <row r="3152" spans="1:3" x14ac:dyDescent="0.3">
      <c r="A3152" s="426">
        <v>43526</v>
      </c>
      <c r="B3152">
        <v>3861.12</v>
      </c>
      <c r="C3152" t="s">
        <v>3559</v>
      </c>
    </row>
    <row r="3153" spans="1:3" x14ac:dyDescent="0.3">
      <c r="A3153" s="426">
        <v>43527</v>
      </c>
      <c r="B3153">
        <v>3862.01</v>
      </c>
      <c r="C3153" t="s">
        <v>3560</v>
      </c>
    </row>
    <row r="3154" spans="1:3" x14ac:dyDescent="0.3">
      <c r="A3154" s="426">
        <v>43528</v>
      </c>
      <c r="B3154">
        <v>3769.32</v>
      </c>
      <c r="C3154" t="s">
        <v>3561</v>
      </c>
    </row>
    <row r="3155" spans="1:3" x14ac:dyDescent="0.3">
      <c r="A3155" s="426">
        <v>43529</v>
      </c>
      <c r="B3155">
        <v>3785.83</v>
      </c>
      <c r="C3155" t="s">
        <v>3562</v>
      </c>
    </row>
    <row r="3156" spans="1:3" x14ac:dyDescent="0.3">
      <c r="A3156" s="426">
        <v>43530</v>
      </c>
      <c r="B3156">
        <v>3898.03</v>
      </c>
      <c r="C3156" t="s">
        <v>3563</v>
      </c>
    </row>
    <row r="3157" spans="1:3" x14ac:dyDescent="0.3">
      <c r="A3157" s="426">
        <v>43531</v>
      </c>
      <c r="B3157">
        <v>3917.94</v>
      </c>
      <c r="C3157" t="s">
        <v>3564</v>
      </c>
    </row>
    <row r="3158" spans="1:3" x14ac:dyDescent="0.3">
      <c r="A3158" s="426">
        <v>43532</v>
      </c>
      <c r="B3158">
        <v>3925.56</v>
      </c>
      <c r="C3158" t="s">
        <v>3565</v>
      </c>
    </row>
    <row r="3159" spans="1:3" x14ac:dyDescent="0.3">
      <c r="A3159" s="426">
        <v>43533</v>
      </c>
      <c r="B3159">
        <v>3948.46</v>
      </c>
      <c r="C3159" t="s">
        <v>3566</v>
      </c>
    </row>
    <row r="3160" spans="1:3" x14ac:dyDescent="0.3">
      <c r="A3160" s="426">
        <v>43534</v>
      </c>
      <c r="B3160">
        <v>3942.14</v>
      </c>
      <c r="C3160" t="s">
        <v>3567</v>
      </c>
    </row>
    <row r="3161" spans="1:3" x14ac:dyDescent="0.3">
      <c r="A3161" s="426">
        <v>43535</v>
      </c>
      <c r="B3161">
        <v>3915.25</v>
      </c>
      <c r="C3161" t="s">
        <v>3568</v>
      </c>
    </row>
    <row r="3162" spans="1:3" x14ac:dyDescent="0.3">
      <c r="A3162" s="426">
        <v>43536</v>
      </c>
      <c r="B3162">
        <v>3910.1</v>
      </c>
      <c r="C3162" t="s">
        <v>3569</v>
      </c>
    </row>
    <row r="3163" spans="1:3" x14ac:dyDescent="0.3">
      <c r="A3163" s="426">
        <v>43537</v>
      </c>
      <c r="B3163">
        <v>3908.61</v>
      </c>
      <c r="C3163" t="s">
        <v>3570</v>
      </c>
    </row>
    <row r="3164" spans="1:3" x14ac:dyDescent="0.3">
      <c r="A3164" s="426">
        <v>43538</v>
      </c>
      <c r="B3164">
        <v>3915.69</v>
      </c>
      <c r="C3164" t="s">
        <v>3571</v>
      </c>
    </row>
    <row r="3165" spans="1:3" x14ac:dyDescent="0.3">
      <c r="A3165" s="426">
        <v>43539</v>
      </c>
      <c r="B3165">
        <v>3947.09</v>
      </c>
      <c r="C3165" t="s">
        <v>3572</v>
      </c>
    </row>
    <row r="3166" spans="1:3" x14ac:dyDescent="0.3">
      <c r="A3166" s="426">
        <v>43540</v>
      </c>
      <c r="B3166">
        <v>4045.03</v>
      </c>
      <c r="C3166" t="s">
        <v>3573</v>
      </c>
    </row>
    <row r="3167" spans="1:3" x14ac:dyDescent="0.3">
      <c r="A3167" s="426">
        <v>43541</v>
      </c>
      <c r="B3167">
        <v>4030.65</v>
      </c>
      <c r="C3167" t="s">
        <v>3574</v>
      </c>
    </row>
    <row r="3168" spans="1:3" x14ac:dyDescent="0.3">
      <c r="A3168" s="426">
        <v>43542</v>
      </c>
      <c r="B3168">
        <v>4027.63</v>
      </c>
      <c r="C3168" t="s">
        <v>3575</v>
      </c>
    </row>
    <row r="3169" spans="1:3" x14ac:dyDescent="0.3">
      <c r="A3169" s="426">
        <v>43543</v>
      </c>
      <c r="B3169">
        <v>4053.41</v>
      </c>
      <c r="C3169" t="s">
        <v>3576</v>
      </c>
    </row>
    <row r="3170" spans="1:3" x14ac:dyDescent="0.3">
      <c r="A3170" s="426">
        <v>43544</v>
      </c>
      <c r="B3170">
        <v>4049.32</v>
      </c>
      <c r="C3170" t="s">
        <v>3577</v>
      </c>
    </row>
    <row r="3171" spans="1:3" x14ac:dyDescent="0.3">
      <c r="A3171" s="426">
        <v>43545</v>
      </c>
      <c r="B3171">
        <v>4079.75</v>
      </c>
      <c r="C3171" t="s">
        <v>3578</v>
      </c>
    </row>
    <row r="3172" spans="1:3" x14ac:dyDescent="0.3">
      <c r="A3172" s="426">
        <v>43546</v>
      </c>
      <c r="B3172">
        <v>4032.51</v>
      </c>
      <c r="C3172" t="s">
        <v>3579</v>
      </c>
    </row>
    <row r="3173" spans="1:3" x14ac:dyDescent="0.3">
      <c r="A3173" s="426">
        <v>43547</v>
      </c>
      <c r="B3173">
        <v>4030.23</v>
      </c>
      <c r="C3173" t="s">
        <v>3580</v>
      </c>
    </row>
    <row r="3174" spans="1:3" x14ac:dyDescent="0.3">
      <c r="A3174" s="426">
        <v>43548</v>
      </c>
      <c r="B3174">
        <v>4022.49</v>
      </c>
      <c r="C3174" t="s">
        <v>3581</v>
      </c>
    </row>
    <row r="3175" spans="1:3" x14ac:dyDescent="0.3">
      <c r="A3175" s="426">
        <v>43549</v>
      </c>
      <c r="B3175">
        <v>4021.6</v>
      </c>
      <c r="C3175" t="s">
        <v>3582</v>
      </c>
    </row>
    <row r="3176" spans="1:3" x14ac:dyDescent="0.3">
      <c r="A3176" s="426">
        <v>43550</v>
      </c>
      <c r="B3176">
        <v>3963.43</v>
      </c>
      <c r="C3176" t="s">
        <v>3583</v>
      </c>
    </row>
    <row r="3177" spans="1:3" x14ac:dyDescent="0.3">
      <c r="A3177" s="426">
        <v>43551</v>
      </c>
      <c r="B3177">
        <v>4067.27</v>
      </c>
      <c r="C3177" t="s">
        <v>3584</v>
      </c>
    </row>
    <row r="3178" spans="1:3" x14ac:dyDescent="0.3">
      <c r="A3178" s="426">
        <v>43552</v>
      </c>
      <c r="B3178">
        <v>4076.33</v>
      </c>
      <c r="C3178" t="s">
        <v>3585</v>
      </c>
    </row>
    <row r="3179" spans="1:3" x14ac:dyDescent="0.3">
      <c r="A3179" s="426">
        <v>43553</v>
      </c>
      <c r="B3179">
        <v>4090.25</v>
      </c>
      <c r="C3179" t="s">
        <v>3586</v>
      </c>
    </row>
    <row r="3180" spans="1:3" x14ac:dyDescent="0.3">
      <c r="A3180" s="426">
        <v>43554</v>
      </c>
      <c r="B3180">
        <v>4098.6000000000004</v>
      </c>
      <c r="C3180" t="s">
        <v>3587</v>
      </c>
    </row>
    <row r="3181" spans="1:3" x14ac:dyDescent="0.3">
      <c r="A3181" s="426">
        <v>43555</v>
      </c>
      <c r="B3181">
        <v>4103.16</v>
      </c>
      <c r="C3181" t="s">
        <v>3588</v>
      </c>
    </row>
    <row r="3182" spans="1:3" x14ac:dyDescent="0.3">
      <c r="A3182" s="426">
        <v>43556</v>
      </c>
      <c r="B3182">
        <v>4138.8999999999996</v>
      </c>
      <c r="C3182" t="s">
        <v>3589</v>
      </c>
    </row>
    <row r="3183" spans="1:3" x14ac:dyDescent="0.3">
      <c r="A3183" s="426">
        <v>43557</v>
      </c>
      <c r="B3183">
        <v>4724.8599999999997</v>
      </c>
      <c r="C3183" t="s">
        <v>3590</v>
      </c>
    </row>
    <row r="3184" spans="1:3" x14ac:dyDescent="0.3">
      <c r="A3184" s="426">
        <v>43558</v>
      </c>
      <c r="B3184">
        <v>5010.57</v>
      </c>
      <c r="C3184" t="s">
        <v>3591</v>
      </c>
    </row>
    <row r="3185" spans="1:3" x14ac:dyDescent="0.3">
      <c r="A3185" s="426">
        <v>43559</v>
      </c>
      <c r="B3185">
        <v>5006.18</v>
      </c>
      <c r="C3185" t="s">
        <v>3592</v>
      </c>
    </row>
    <row r="3186" spans="1:3" x14ac:dyDescent="0.3">
      <c r="A3186" s="426">
        <v>43560</v>
      </c>
      <c r="B3186">
        <v>5000.13</v>
      </c>
      <c r="C3186" t="s">
        <v>3593</v>
      </c>
    </row>
    <row r="3187" spans="1:3" x14ac:dyDescent="0.3">
      <c r="A3187" s="426">
        <v>43561</v>
      </c>
      <c r="B3187">
        <v>5024.87</v>
      </c>
      <c r="C3187" t="s">
        <v>3594</v>
      </c>
    </row>
    <row r="3188" spans="1:3" x14ac:dyDescent="0.3">
      <c r="A3188" s="426">
        <v>43562</v>
      </c>
      <c r="B3188">
        <v>5153.72</v>
      </c>
      <c r="C3188" t="s">
        <v>3595</v>
      </c>
    </row>
    <row r="3189" spans="1:3" x14ac:dyDescent="0.3">
      <c r="A3189" s="426">
        <v>43563</v>
      </c>
      <c r="B3189">
        <v>5240.58</v>
      </c>
      <c r="C3189" t="s">
        <v>3596</v>
      </c>
    </row>
    <row r="3190" spans="1:3" x14ac:dyDescent="0.3">
      <c r="A3190" s="426">
        <v>43564</v>
      </c>
      <c r="B3190">
        <v>5220.9799999999996</v>
      </c>
      <c r="C3190" t="s">
        <v>3597</v>
      </c>
    </row>
    <row r="3191" spans="1:3" x14ac:dyDescent="0.3">
      <c r="A3191" s="426">
        <v>43565</v>
      </c>
      <c r="B3191">
        <v>5261.66</v>
      </c>
      <c r="C3191" t="s">
        <v>3598</v>
      </c>
    </row>
    <row r="3192" spans="1:3" x14ac:dyDescent="0.3">
      <c r="A3192" s="426">
        <v>43566</v>
      </c>
      <c r="B3192">
        <v>5079.17</v>
      </c>
      <c r="C3192" t="s">
        <v>3599</v>
      </c>
    </row>
    <row r="3193" spans="1:3" x14ac:dyDescent="0.3">
      <c r="A3193" s="426">
        <v>43567</v>
      </c>
      <c r="B3193">
        <v>5073.51</v>
      </c>
      <c r="C3193" t="s">
        <v>3600</v>
      </c>
    </row>
    <row r="3194" spans="1:3" x14ac:dyDescent="0.3">
      <c r="A3194" s="426">
        <v>43568</v>
      </c>
      <c r="B3194">
        <v>5096.24</v>
      </c>
      <c r="C3194" t="s">
        <v>3601</v>
      </c>
    </row>
    <row r="3195" spans="1:3" x14ac:dyDescent="0.3">
      <c r="A3195" s="426">
        <v>43569</v>
      </c>
      <c r="B3195">
        <v>5097.3599999999997</v>
      </c>
      <c r="C3195" t="s">
        <v>3602</v>
      </c>
    </row>
    <row r="3196" spans="1:3" x14ac:dyDescent="0.3">
      <c r="A3196" s="426">
        <v>43570</v>
      </c>
      <c r="B3196">
        <v>5171.58</v>
      </c>
      <c r="C3196" t="s">
        <v>3603</v>
      </c>
    </row>
    <row r="3197" spans="1:3" x14ac:dyDescent="0.3">
      <c r="A3197" s="426">
        <v>43571</v>
      </c>
      <c r="B3197">
        <v>5097.54</v>
      </c>
      <c r="C3197" t="s">
        <v>3604</v>
      </c>
    </row>
    <row r="3198" spans="1:3" x14ac:dyDescent="0.3">
      <c r="A3198" s="426">
        <v>43572</v>
      </c>
      <c r="B3198">
        <v>5243.72</v>
      </c>
      <c r="C3198" t="s">
        <v>3605</v>
      </c>
    </row>
    <row r="3199" spans="1:3" x14ac:dyDescent="0.3">
      <c r="A3199" s="426">
        <v>43573</v>
      </c>
      <c r="B3199">
        <v>5286.68</v>
      </c>
      <c r="C3199" t="s">
        <v>3606</v>
      </c>
    </row>
    <row r="3200" spans="1:3" x14ac:dyDescent="0.3">
      <c r="A3200" s="426">
        <v>43574</v>
      </c>
      <c r="B3200">
        <v>5275.08</v>
      </c>
      <c r="C3200" t="s">
        <v>3607</v>
      </c>
    </row>
    <row r="3201" spans="1:3" x14ac:dyDescent="0.3">
      <c r="A3201" s="426">
        <v>43575</v>
      </c>
      <c r="B3201">
        <v>5334.79</v>
      </c>
      <c r="C3201" t="s">
        <v>3608</v>
      </c>
    </row>
    <row r="3202" spans="1:3" x14ac:dyDescent="0.3">
      <c r="A3202" s="426">
        <v>43576</v>
      </c>
      <c r="B3202">
        <v>5296.51</v>
      </c>
      <c r="C3202" t="s">
        <v>3609</v>
      </c>
    </row>
    <row r="3203" spans="1:3" x14ac:dyDescent="0.3">
      <c r="A3203" s="426">
        <v>43577</v>
      </c>
      <c r="B3203">
        <v>5325</v>
      </c>
      <c r="C3203" t="s">
        <v>3610</v>
      </c>
    </row>
    <row r="3204" spans="1:3" x14ac:dyDescent="0.3">
      <c r="A3204" s="426">
        <v>43578</v>
      </c>
      <c r="B3204">
        <v>5579.5</v>
      </c>
      <c r="C3204" t="s">
        <v>3611</v>
      </c>
    </row>
    <row r="3205" spans="1:3" x14ac:dyDescent="0.3">
      <c r="A3205" s="426">
        <v>43579</v>
      </c>
      <c r="B3205">
        <v>5489.87</v>
      </c>
      <c r="C3205" t="s">
        <v>3612</v>
      </c>
    </row>
    <row r="3206" spans="1:3" x14ac:dyDescent="0.3">
      <c r="A3206" s="426">
        <v>43580</v>
      </c>
      <c r="B3206">
        <v>5480.58</v>
      </c>
      <c r="C3206" t="s">
        <v>3613</v>
      </c>
    </row>
    <row r="3207" spans="1:3" x14ac:dyDescent="0.3">
      <c r="A3207" s="426">
        <v>43581</v>
      </c>
      <c r="B3207">
        <v>5282.96</v>
      </c>
      <c r="C3207" t="s">
        <v>3614</v>
      </c>
    </row>
    <row r="3208" spans="1:3" x14ac:dyDescent="0.3">
      <c r="A3208" s="426">
        <v>43582</v>
      </c>
      <c r="B3208">
        <v>5264.71</v>
      </c>
      <c r="C3208" t="s">
        <v>3615</v>
      </c>
    </row>
    <row r="3209" spans="1:3" x14ac:dyDescent="0.3">
      <c r="A3209" s="426">
        <v>43583</v>
      </c>
      <c r="B3209">
        <v>5286.08</v>
      </c>
      <c r="C3209" t="s">
        <v>3616</v>
      </c>
    </row>
    <row r="3210" spans="1:3" x14ac:dyDescent="0.3">
      <c r="A3210" s="426">
        <v>43584</v>
      </c>
      <c r="B3210">
        <v>5259.86</v>
      </c>
      <c r="C3210" t="s">
        <v>3617</v>
      </c>
    </row>
    <row r="3211" spans="1:3" x14ac:dyDescent="0.3">
      <c r="A3211" s="426">
        <v>43585</v>
      </c>
      <c r="B3211">
        <v>5288.5</v>
      </c>
      <c r="C3211" t="s">
        <v>3618</v>
      </c>
    </row>
    <row r="3212" spans="1:3" x14ac:dyDescent="0.3">
      <c r="A3212" s="426">
        <v>43586</v>
      </c>
      <c r="B3212">
        <v>5383.23</v>
      </c>
      <c r="C3212" t="s">
        <v>3619</v>
      </c>
    </row>
    <row r="3213" spans="1:3" x14ac:dyDescent="0.3">
      <c r="A3213" s="426">
        <v>43587</v>
      </c>
      <c r="B3213">
        <v>5460.99</v>
      </c>
      <c r="C3213" t="s">
        <v>3620</v>
      </c>
    </row>
    <row r="3214" spans="1:3" x14ac:dyDescent="0.3">
      <c r="A3214" s="426">
        <v>43588</v>
      </c>
      <c r="B3214">
        <v>5769.2</v>
      </c>
      <c r="C3214" t="s">
        <v>3621</v>
      </c>
    </row>
    <row r="3215" spans="1:3" x14ac:dyDescent="0.3">
      <c r="A3215" s="426">
        <v>43589</v>
      </c>
      <c r="B3215">
        <v>5808.38</v>
      </c>
      <c r="C3215" t="s">
        <v>3622</v>
      </c>
    </row>
    <row r="3216" spans="1:3" x14ac:dyDescent="0.3">
      <c r="A3216" s="426">
        <v>43590</v>
      </c>
      <c r="B3216">
        <v>5788.63</v>
      </c>
      <c r="C3216" t="s">
        <v>3623</v>
      </c>
    </row>
    <row r="3217" spans="1:3" x14ac:dyDescent="0.3">
      <c r="A3217" s="426">
        <v>43591</v>
      </c>
      <c r="B3217">
        <v>5717.56</v>
      </c>
      <c r="C3217" t="s">
        <v>3624</v>
      </c>
    </row>
    <row r="3218" spans="1:3" x14ac:dyDescent="0.3">
      <c r="A3218" s="426">
        <v>43592</v>
      </c>
      <c r="B3218">
        <v>5934.05</v>
      </c>
      <c r="C3218" t="s">
        <v>3625</v>
      </c>
    </row>
    <row r="3219" spans="1:3" x14ac:dyDescent="0.3">
      <c r="A3219" s="426">
        <v>43593</v>
      </c>
      <c r="B3219">
        <v>5902.46</v>
      </c>
      <c r="C3219" t="s">
        <v>3626</v>
      </c>
    </row>
    <row r="3220" spans="1:3" x14ac:dyDescent="0.3">
      <c r="A3220" s="426">
        <v>43594</v>
      </c>
      <c r="B3220">
        <v>6085.26</v>
      </c>
      <c r="C3220" t="s">
        <v>3627</v>
      </c>
    </row>
    <row r="3221" spans="1:3" x14ac:dyDescent="0.3">
      <c r="A3221" s="426">
        <v>43595</v>
      </c>
      <c r="B3221">
        <v>6313.28</v>
      </c>
      <c r="C3221" t="s">
        <v>3628</v>
      </c>
    </row>
    <row r="3222" spans="1:3" x14ac:dyDescent="0.3">
      <c r="A3222" s="426">
        <v>43596</v>
      </c>
      <c r="B3222">
        <v>6798.83</v>
      </c>
      <c r="C3222" t="s">
        <v>3629</v>
      </c>
    </row>
    <row r="3223" spans="1:3" x14ac:dyDescent="0.3">
      <c r="A3223" s="426">
        <v>43597</v>
      </c>
      <c r="B3223">
        <v>7150.58</v>
      </c>
      <c r="C3223" t="s">
        <v>3630</v>
      </c>
    </row>
    <row r="3224" spans="1:3" x14ac:dyDescent="0.3">
      <c r="A3224" s="426">
        <v>43598</v>
      </c>
      <c r="B3224">
        <v>7309.05</v>
      </c>
      <c r="C3224" t="s">
        <v>3631</v>
      </c>
    </row>
    <row r="3225" spans="1:3" x14ac:dyDescent="0.3">
      <c r="A3225" s="426">
        <v>43599</v>
      </c>
      <c r="B3225">
        <v>7989.37</v>
      </c>
      <c r="C3225" t="s">
        <v>3632</v>
      </c>
    </row>
    <row r="3226" spans="1:3" x14ac:dyDescent="0.3">
      <c r="A3226" s="426">
        <v>43600</v>
      </c>
      <c r="B3226">
        <v>8022.42</v>
      </c>
      <c r="C3226" t="s">
        <v>3633</v>
      </c>
    </row>
    <row r="3227" spans="1:3" x14ac:dyDescent="0.3">
      <c r="A3227" s="426">
        <v>43601</v>
      </c>
      <c r="B3227">
        <v>7959.01</v>
      </c>
      <c r="C3227" t="s">
        <v>3634</v>
      </c>
    </row>
    <row r="3228" spans="1:3" x14ac:dyDescent="0.3">
      <c r="A3228" s="426">
        <v>43602</v>
      </c>
      <c r="B3228">
        <v>7273.15</v>
      </c>
      <c r="C3228" t="s">
        <v>3635</v>
      </c>
    </row>
    <row r="3229" spans="1:3" x14ac:dyDescent="0.3">
      <c r="A3229" s="426">
        <v>43603</v>
      </c>
      <c r="B3229">
        <v>7327.78</v>
      </c>
      <c r="C3229" t="s">
        <v>3636</v>
      </c>
    </row>
    <row r="3230" spans="1:3" x14ac:dyDescent="0.3">
      <c r="A3230" s="426">
        <v>43604</v>
      </c>
      <c r="B3230">
        <v>7947.29</v>
      </c>
      <c r="C3230" t="s">
        <v>3637</v>
      </c>
    </row>
    <row r="3231" spans="1:3" x14ac:dyDescent="0.3">
      <c r="A3231" s="426">
        <v>43605</v>
      </c>
      <c r="B3231">
        <v>7913.25</v>
      </c>
      <c r="C3231" t="s">
        <v>3638</v>
      </c>
    </row>
    <row r="3232" spans="1:3" x14ac:dyDescent="0.3">
      <c r="A3232" s="426">
        <v>43606</v>
      </c>
      <c r="B3232">
        <v>7940.64</v>
      </c>
      <c r="C3232" t="s">
        <v>3639</v>
      </c>
    </row>
    <row r="3233" spans="1:3" x14ac:dyDescent="0.3">
      <c r="A3233" s="426">
        <v>43607</v>
      </c>
      <c r="B3233">
        <v>7924.24</v>
      </c>
      <c r="C3233" t="s">
        <v>3640</v>
      </c>
    </row>
    <row r="3234" spans="1:3" x14ac:dyDescent="0.3">
      <c r="A3234" s="426">
        <v>43608</v>
      </c>
      <c r="B3234">
        <v>7675.9</v>
      </c>
      <c r="C3234" t="s">
        <v>3641</v>
      </c>
    </row>
    <row r="3235" spans="1:3" x14ac:dyDescent="0.3">
      <c r="A3235" s="426">
        <v>43609</v>
      </c>
      <c r="B3235">
        <v>7991.89</v>
      </c>
      <c r="C3235" t="s">
        <v>3642</v>
      </c>
    </row>
    <row r="3236" spans="1:3" x14ac:dyDescent="0.3">
      <c r="A3236" s="426">
        <v>43610</v>
      </c>
      <c r="B3236">
        <v>8036.84</v>
      </c>
      <c r="C3236" t="s">
        <v>3643</v>
      </c>
    </row>
    <row r="3237" spans="1:3" x14ac:dyDescent="0.3">
      <c r="A3237" s="426">
        <v>43611</v>
      </c>
      <c r="B3237">
        <v>8008.8</v>
      </c>
      <c r="C3237" t="s">
        <v>3644</v>
      </c>
    </row>
    <row r="3238" spans="1:3" x14ac:dyDescent="0.3">
      <c r="A3238" s="426">
        <v>43612</v>
      </c>
      <c r="B3238">
        <v>8754.23</v>
      </c>
      <c r="C3238" t="s">
        <v>3645</v>
      </c>
    </row>
    <row r="3239" spans="1:3" x14ac:dyDescent="0.3">
      <c r="A3239" s="426">
        <v>43613</v>
      </c>
      <c r="B3239">
        <v>8715.6299999999992</v>
      </c>
      <c r="C3239" t="s">
        <v>3646</v>
      </c>
    </row>
    <row r="3240" spans="1:3" x14ac:dyDescent="0.3">
      <c r="A3240" s="426">
        <v>43614</v>
      </c>
      <c r="B3240">
        <v>8668.2900000000009</v>
      </c>
      <c r="C3240" t="s">
        <v>3647</v>
      </c>
    </row>
    <row r="3241" spans="1:3" x14ac:dyDescent="0.3">
      <c r="A3241" s="426">
        <v>43615</v>
      </c>
      <c r="B3241">
        <v>8704.15</v>
      </c>
      <c r="C3241" t="s">
        <v>3648</v>
      </c>
    </row>
    <row r="3242" spans="1:3" x14ac:dyDescent="0.3">
      <c r="A3242" s="426">
        <v>43616</v>
      </c>
      <c r="B3242">
        <v>8366.56</v>
      </c>
      <c r="C3242" t="s">
        <v>3649</v>
      </c>
    </row>
    <row r="3243" spans="1:3" x14ac:dyDescent="0.3">
      <c r="A3243" s="426">
        <v>43617</v>
      </c>
      <c r="B3243">
        <v>8560.01</v>
      </c>
      <c r="C3243" t="s">
        <v>3650</v>
      </c>
    </row>
    <row r="3244" spans="1:3" x14ac:dyDescent="0.3">
      <c r="A3244" s="426">
        <v>43618</v>
      </c>
      <c r="B3244">
        <v>8701.49</v>
      </c>
      <c r="C3244" t="s">
        <v>3651</v>
      </c>
    </row>
    <row r="3245" spans="1:3" x14ac:dyDescent="0.3">
      <c r="A3245" s="426">
        <v>43619</v>
      </c>
      <c r="B3245">
        <v>8549.4599999999991</v>
      </c>
      <c r="C3245" t="s">
        <v>3652</v>
      </c>
    </row>
    <row r="3246" spans="1:3" x14ac:dyDescent="0.3">
      <c r="A3246" s="426">
        <v>43620</v>
      </c>
      <c r="B3246">
        <v>7971.01</v>
      </c>
      <c r="C3246" t="s">
        <v>3653</v>
      </c>
    </row>
    <row r="3247" spans="1:3" x14ac:dyDescent="0.3">
      <c r="A3247" s="426">
        <v>43621</v>
      </c>
      <c r="B3247">
        <v>7814.17</v>
      </c>
      <c r="C3247" t="s">
        <v>3654</v>
      </c>
    </row>
    <row r="3248" spans="1:3" x14ac:dyDescent="0.3">
      <c r="A3248" s="426">
        <v>43622</v>
      </c>
      <c r="B3248">
        <v>7819.2</v>
      </c>
      <c r="C3248" t="s">
        <v>3655</v>
      </c>
    </row>
    <row r="3249" spans="1:3" x14ac:dyDescent="0.3">
      <c r="A3249" s="426">
        <v>43623</v>
      </c>
      <c r="B3249">
        <v>7974.52</v>
      </c>
      <c r="C3249" t="s">
        <v>3656</v>
      </c>
    </row>
    <row r="3250" spans="1:3" x14ac:dyDescent="0.3">
      <c r="A3250" s="426">
        <v>43624</v>
      </c>
      <c r="B3250">
        <v>7966.34</v>
      </c>
      <c r="C3250" t="s">
        <v>3657</v>
      </c>
    </row>
    <row r="3251" spans="1:3" x14ac:dyDescent="0.3">
      <c r="A3251" s="426">
        <v>43625</v>
      </c>
      <c r="B3251">
        <v>7893.97</v>
      </c>
      <c r="C3251" t="s">
        <v>3658</v>
      </c>
    </row>
    <row r="3252" spans="1:3" x14ac:dyDescent="0.3">
      <c r="A3252" s="426">
        <v>43626</v>
      </c>
      <c r="B3252">
        <v>7938.45</v>
      </c>
      <c r="C3252" t="s">
        <v>3659</v>
      </c>
    </row>
    <row r="3253" spans="1:3" x14ac:dyDescent="0.3">
      <c r="A3253" s="426">
        <v>43627</v>
      </c>
      <c r="B3253">
        <v>7937</v>
      </c>
      <c r="C3253" t="s">
        <v>3660</v>
      </c>
    </row>
    <row r="3254" spans="1:3" x14ac:dyDescent="0.3">
      <c r="A3254" s="426">
        <v>43628</v>
      </c>
      <c r="B3254">
        <v>8008.75</v>
      </c>
      <c r="C3254" t="s">
        <v>3661</v>
      </c>
    </row>
    <row r="3255" spans="1:3" x14ac:dyDescent="0.3">
      <c r="A3255" s="426">
        <v>43629</v>
      </c>
      <c r="B3255">
        <v>8143.11</v>
      </c>
      <c r="C3255" t="s">
        <v>3662</v>
      </c>
    </row>
    <row r="3256" spans="1:3" x14ac:dyDescent="0.3">
      <c r="A3256" s="426">
        <v>43630</v>
      </c>
      <c r="B3256">
        <v>8305.33</v>
      </c>
      <c r="C3256" t="s">
        <v>3663</v>
      </c>
    </row>
    <row r="3257" spans="1:3" x14ac:dyDescent="0.3">
      <c r="A3257" s="426">
        <v>43631</v>
      </c>
      <c r="B3257">
        <v>8685.01</v>
      </c>
      <c r="C3257" t="s">
        <v>3664</v>
      </c>
    </row>
    <row r="3258" spans="1:3" x14ac:dyDescent="0.3">
      <c r="A3258" s="426">
        <v>43632</v>
      </c>
      <c r="B3258">
        <v>9081.5400000000009</v>
      </c>
      <c r="C3258" t="s">
        <v>3665</v>
      </c>
    </row>
    <row r="3259" spans="1:3" x14ac:dyDescent="0.3">
      <c r="A3259" s="426">
        <v>43633</v>
      </c>
      <c r="B3259">
        <v>9258.2900000000009</v>
      </c>
      <c r="C3259" t="s">
        <v>3666</v>
      </c>
    </row>
    <row r="3260" spans="1:3" x14ac:dyDescent="0.3">
      <c r="A3260" s="426">
        <v>43634</v>
      </c>
      <c r="B3260">
        <v>9179.69</v>
      </c>
      <c r="C3260" t="s">
        <v>3667</v>
      </c>
    </row>
    <row r="3261" spans="1:3" x14ac:dyDescent="0.3">
      <c r="A3261" s="426">
        <v>43635</v>
      </c>
      <c r="B3261">
        <v>9153.49</v>
      </c>
      <c r="C3261" t="s">
        <v>3668</v>
      </c>
    </row>
    <row r="3262" spans="1:3" x14ac:dyDescent="0.3">
      <c r="A3262" s="426">
        <v>43636</v>
      </c>
      <c r="B3262">
        <v>9305.8799999999992</v>
      </c>
      <c r="C3262" t="s">
        <v>3669</v>
      </c>
    </row>
    <row r="3263" spans="1:3" x14ac:dyDescent="0.3">
      <c r="A3263" s="426">
        <v>43637</v>
      </c>
      <c r="B3263">
        <v>9816.61</v>
      </c>
      <c r="C3263" t="s">
        <v>3670</v>
      </c>
    </row>
    <row r="3264" spans="1:3" x14ac:dyDescent="0.3">
      <c r="A3264" s="426">
        <v>43638</v>
      </c>
      <c r="B3264">
        <v>10731.47</v>
      </c>
      <c r="C3264" t="s">
        <v>3671</v>
      </c>
    </row>
    <row r="3265" spans="1:3" x14ac:dyDescent="0.3">
      <c r="A3265" s="426">
        <v>43639</v>
      </c>
      <c r="B3265">
        <v>10748.27</v>
      </c>
      <c r="C3265" t="s">
        <v>3672</v>
      </c>
    </row>
    <row r="3266" spans="1:3" x14ac:dyDescent="0.3">
      <c r="A3266" s="426">
        <v>43640</v>
      </c>
      <c r="B3266">
        <v>10888.4</v>
      </c>
      <c r="C3266" t="s">
        <v>3673</v>
      </c>
    </row>
    <row r="3267" spans="1:3" x14ac:dyDescent="0.3">
      <c r="A3267" s="426">
        <v>43641</v>
      </c>
      <c r="B3267">
        <v>11341.05</v>
      </c>
      <c r="C3267" t="s">
        <v>3674</v>
      </c>
    </row>
    <row r="3268" spans="1:3" x14ac:dyDescent="0.3">
      <c r="A3268" s="426">
        <v>43642</v>
      </c>
      <c r="B3268">
        <v>12652.81</v>
      </c>
      <c r="C3268" t="s">
        <v>3675</v>
      </c>
    </row>
    <row r="3269" spans="1:3" x14ac:dyDescent="0.3">
      <c r="A3269" s="426">
        <v>43643</v>
      </c>
      <c r="B3269">
        <v>11839.56</v>
      </c>
      <c r="C3269" t="s">
        <v>3676</v>
      </c>
    </row>
    <row r="3270" spans="1:3" x14ac:dyDescent="0.3">
      <c r="A3270" s="426">
        <v>43644</v>
      </c>
      <c r="B3270">
        <v>11851.82</v>
      </c>
      <c r="C3270" t="s">
        <v>3677</v>
      </c>
    </row>
    <row r="3271" spans="1:3" x14ac:dyDescent="0.3">
      <c r="A3271" s="426">
        <v>43645</v>
      </c>
      <c r="B3271">
        <v>11931.99</v>
      </c>
      <c r="C3271" t="s">
        <v>3678</v>
      </c>
    </row>
    <row r="3272" spans="1:3" x14ac:dyDescent="0.3">
      <c r="A3272" s="426">
        <v>43646</v>
      </c>
      <c r="B3272">
        <v>11600.58</v>
      </c>
      <c r="C3272" t="s">
        <v>3679</v>
      </c>
    </row>
    <row r="3273" spans="1:3" x14ac:dyDescent="0.3">
      <c r="A3273" s="426">
        <v>43647</v>
      </c>
      <c r="B3273">
        <v>10941.74</v>
      </c>
      <c r="C3273" t="s">
        <v>3680</v>
      </c>
    </row>
    <row r="3274" spans="1:3" x14ac:dyDescent="0.3">
      <c r="A3274" s="426">
        <v>43648</v>
      </c>
      <c r="B3274">
        <v>10317.959999999999</v>
      </c>
      <c r="C3274" t="s">
        <v>3681</v>
      </c>
    </row>
    <row r="3275" spans="1:3" x14ac:dyDescent="0.3">
      <c r="A3275" s="426">
        <v>43649</v>
      </c>
      <c r="B3275">
        <v>11314.8</v>
      </c>
      <c r="C3275" t="s">
        <v>3682</v>
      </c>
    </row>
    <row r="3276" spans="1:3" x14ac:dyDescent="0.3">
      <c r="A3276" s="426">
        <v>43650</v>
      </c>
      <c r="B3276">
        <v>11788.13</v>
      </c>
      <c r="C3276" t="s">
        <v>3683</v>
      </c>
    </row>
    <row r="3277" spans="1:3" x14ac:dyDescent="0.3">
      <c r="A3277" s="426">
        <v>43651</v>
      </c>
      <c r="B3277">
        <v>11192.28</v>
      </c>
      <c r="C3277" t="s">
        <v>3684</v>
      </c>
    </row>
    <row r="3278" spans="1:3" x14ac:dyDescent="0.3">
      <c r="A3278" s="426">
        <v>43652</v>
      </c>
      <c r="B3278">
        <v>11380.5</v>
      </c>
      <c r="C3278" t="s">
        <v>3685</v>
      </c>
    </row>
    <row r="3279" spans="1:3" x14ac:dyDescent="0.3">
      <c r="A3279" s="426">
        <v>43653</v>
      </c>
      <c r="B3279">
        <v>11261.07</v>
      </c>
      <c r="C3279" t="s">
        <v>3686</v>
      </c>
    </row>
    <row r="3280" spans="1:3" x14ac:dyDescent="0.3">
      <c r="A3280" s="426">
        <v>43654</v>
      </c>
      <c r="B3280">
        <v>11864.08</v>
      </c>
      <c r="C3280" t="s">
        <v>3687</v>
      </c>
    </row>
    <row r="3281" spans="1:3" x14ac:dyDescent="0.3">
      <c r="A3281" s="426">
        <v>43655</v>
      </c>
      <c r="B3281">
        <v>12553.4</v>
      </c>
      <c r="C3281" t="s">
        <v>3688</v>
      </c>
    </row>
    <row r="3282" spans="1:3" x14ac:dyDescent="0.3">
      <c r="A3282" s="426">
        <v>43656</v>
      </c>
      <c r="B3282">
        <v>12886.12</v>
      </c>
      <c r="C3282" t="s">
        <v>3689</v>
      </c>
    </row>
    <row r="3283" spans="1:3" x14ac:dyDescent="0.3">
      <c r="A3283" s="426">
        <v>43657</v>
      </c>
      <c r="B3283">
        <v>11619.69</v>
      </c>
      <c r="C3283" t="s">
        <v>3690</v>
      </c>
    </row>
    <row r="3284" spans="1:3" x14ac:dyDescent="0.3">
      <c r="A3284" s="426">
        <v>43658</v>
      </c>
      <c r="B3284">
        <v>11645.32</v>
      </c>
      <c r="C3284" t="s">
        <v>3691</v>
      </c>
    </row>
    <row r="3285" spans="1:3" x14ac:dyDescent="0.3">
      <c r="A3285" s="426">
        <v>43659</v>
      </c>
      <c r="B3285">
        <v>11431.54</v>
      </c>
      <c r="C3285" t="s">
        <v>3692</v>
      </c>
    </row>
    <row r="3286" spans="1:3" x14ac:dyDescent="0.3">
      <c r="A3286" s="426">
        <v>43660</v>
      </c>
      <c r="B3286">
        <v>10764.17</v>
      </c>
      <c r="C3286" t="s">
        <v>3693</v>
      </c>
    </row>
    <row r="3287" spans="1:3" x14ac:dyDescent="0.3">
      <c r="A3287" s="426">
        <v>43661</v>
      </c>
      <c r="B3287">
        <v>10353.67</v>
      </c>
      <c r="C3287" t="s">
        <v>3694</v>
      </c>
    </row>
    <row r="3288" spans="1:3" x14ac:dyDescent="0.3">
      <c r="A3288" s="426">
        <v>43662</v>
      </c>
      <c r="B3288">
        <v>10680.12</v>
      </c>
      <c r="C3288" t="s">
        <v>3695</v>
      </c>
    </row>
    <row r="3289" spans="1:3" x14ac:dyDescent="0.3">
      <c r="A3289" s="426">
        <v>43663</v>
      </c>
      <c r="B3289">
        <v>9574.1299999999992</v>
      </c>
      <c r="C3289" t="s">
        <v>3696</v>
      </c>
    </row>
    <row r="3290" spans="1:3" x14ac:dyDescent="0.3">
      <c r="A3290" s="426">
        <v>43664</v>
      </c>
      <c r="B3290">
        <v>9861.65</v>
      </c>
      <c r="C3290" t="s">
        <v>3697</v>
      </c>
    </row>
    <row r="3291" spans="1:3" x14ac:dyDescent="0.3">
      <c r="A3291" s="426">
        <v>43665</v>
      </c>
      <c r="B3291">
        <v>10492.32</v>
      </c>
      <c r="C3291" t="s">
        <v>3698</v>
      </c>
    </row>
    <row r="3292" spans="1:3" x14ac:dyDescent="0.3">
      <c r="A3292" s="426">
        <v>43666</v>
      </c>
      <c r="B3292">
        <v>10601.63</v>
      </c>
      <c r="C3292" t="s">
        <v>3699</v>
      </c>
    </row>
    <row r="3293" spans="1:3" x14ac:dyDescent="0.3">
      <c r="A3293" s="426">
        <v>43667</v>
      </c>
      <c r="B3293">
        <v>10596.95</v>
      </c>
      <c r="C3293" t="s">
        <v>3700</v>
      </c>
    </row>
    <row r="3294" spans="1:3" x14ac:dyDescent="0.3">
      <c r="A3294" s="426">
        <v>43668</v>
      </c>
      <c r="B3294">
        <v>10520.72</v>
      </c>
      <c r="C3294" t="s">
        <v>3701</v>
      </c>
    </row>
    <row r="3295" spans="1:3" x14ac:dyDescent="0.3">
      <c r="A3295" s="426">
        <v>43669</v>
      </c>
      <c r="B3295">
        <v>10083.59</v>
      </c>
      <c r="C3295" t="s">
        <v>3702</v>
      </c>
    </row>
    <row r="3296" spans="1:3" x14ac:dyDescent="0.3">
      <c r="A3296" s="426">
        <v>43670</v>
      </c>
      <c r="B3296">
        <v>9719.84</v>
      </c>
      <c r="C3296" t="s">
        <v>3703</v>
      </c>
    </row>
    <row r="3297" spans="1:3" x14ac:dyDescent="0.3">
      <c r="A3297" s="426">
        <v>43671</v>
      </c>
      <c r="B3297">
        <v>10081.379999999999</v>
      </c>
      <c r="C3297" t="s">
        <v>3704</v>
      </c>
    </row>
    <row r="3298" spans="1:3" x14ac:dyDescent="0.3">
      <c r="A3298" s="426">
        <v>43672</v>
      </c>
      <c r="B3298">
        <v>9809.61</v>
      </c>
      <c r="C3298" t="s">
        <v>3705</v>
      </c>
    </row>
    <row r="3299" spans="1:3" x14ac:dyDescent="0.3">
      <c r="A3299" s="426">
        <v>43673</v>
      </c>
      <c r="B3299">
        <v>9524.4</v>
      </c>
      <c r="C3299" t="s">
        <v>3706</v>
      </c>
    </row>
    <row r="3300" spans="1:3" x14ac:dyDescent="0.3">
      <c r="A3300" s="426">
        <v>43674</v>
      </c>
      <c r="B3300">
        <v>9527.77</v>
      </c>
      <c r="C3300" t="s">
        <v>3707</v>
      </c>
    </row>
    <row r="3301" spans="1:3" x14ac:dyDescent="0.3">
      <c r="A3301" s="426">
        <v>43675</v>
      </c>
      <c r="B3301">
        <v>9549.36</v>
      </c>
      <c r="C3301" t="s">
        <v>3708</v>
      </c>
    </row>
    <row r="3302" spans="1:3" x14ac:dyDescent="0.3">
      <c r="A3302" s="426">
        <v>43676</v>
      </c>
      <c r="B3302">
        <v>9561.08</v>
      </c>
      <c r="C3302" t="s">
        <v>3709</v>
      </c>
    </row>
    <row r="3303" spans="1:3" x14ac:dyDescent="0.3">
      <c r="A3303" s="426">
        <v>43677</v>
      </c>
      <c r="B3303">
        <v>9795.17</v>
      </c>
      <c r="C3303" t="s">
        <v>3710</v>
      </c>
    </row>
    <row r="3304" spans="1:3" x14ac:dyDescent="0.3">
      <c r="A3304" s="426">
        <v>43678</v>
      </c>
      <c r="B3304">
        <v>10032.34</v>
      </c>
      <c r="C3304" t="s">
        <v>3711</v>
      </c>
    </row>
    <row r="3305" spans="1:3" x14ac:dyDescent="0.3">
      <c r="A3305" s="426">
        <v>43679</v>
      </c>
      <c r="B3305">
        <v>10482.69</v>
      </c>
      <c r="C3305" t="s">
        <v>3712</v>
      </c>
    </row>
    <row r="3306" spans="1:3" x14ac:dyDescent="0.3">
      <c r="A3306" s="426">
        <v>43680</v>
      </c>
      <c r="B3306">
        <v>10805</v>
      </c>
      <c r="C3306" t="s">
        <v>3713</v>
      </c>
    </row>
    <row r="3307" spans="1:3" x14ac:dyDescent="0.3">
      <c r="A3307" s="426">
        <v>43681</v>
      </c>
      <c r="B3307">
        <v>10823.42</v>
      </c>
      <c r="C3307" t="s">
        <v>3714</v>
      </c>
    </row>
    <row r="3308" spans="1:3" x14ac:dyDescent="0.3">
      <c r="A3308" s="426">
        <v>43682</v>
      </c>
      <c r="B3308">
        <v>11737.24</v>
      </c>
      <c r="C3308" t="s">
        <v>3715</v>
      </c>
    </row>
    <row r="3309" spans="1:3" x14ac:dyDescent="0.3">
      <c r="A3309" s="426">
        <v>43683</v>
      </c>
      <c r="B3309">
        <v>11728.51</v>
      </c>
      <c r="C3309" t="s">
        <v>3716</v>
      </c>
    </row>
    <row r="3310" spans="1:3" x14ac:dyDescent="0.3">
      <c r="A3310" s="426">
        <v>43684</v>
      </c>
      <c r="B3310">
        <v>11664.41</v>
      </c>
      <c r="C3310" t="s">
        <v>3717</v>
      </c>
    </row>
    <row r="3311" spans="1:3" x14ac:dyDescent="0.3">
      <c r="A3311" s="426">
        <v>43685</v>
      </c>
      <c r="B3311">
        <v>11839.04</v>
      </c>
      <c r="C3311" t="s">
        <v>3718</v>
      </c>
    </row>
    <row r="3312" spans="1:3" x14ac:dyDescent="0.3">
      <c r="A3312" s="426">
        <v>43686</v>
      </c>
      <c r="B3312">
        <v>11841.44</v>
      </c>
      <c r="C3312" t="s">
        <v>3719</v>
      </c>
    </row>
    <row r="3313" spans="1:3" x14ac:dyDescent="0.3">
      <c r="A3313" s="426">
        <v>43687</v>
      </c>
      <c r="B3313">
        <v>11467.06</v>
      </c>
      <c r="C3313" t="s">
        <v>3720</v>
      </c>
    </row>
    <row r="3314" spans="1:3" x14ac:dyDescent="0.3">
      <c r="A3314" s="426">
        <v>43688</v>
      </c>
      <c r="B3314">
        <v>11396.09</v>
      </c>
      <c r="C3314" t="s">
        <v>3721</v>
      </c>
    </row>
    <row r="3315" spans="1:3" x14ac:dyDescent="0.3">
      <c r="A3315" s="426">
        <v>43689</v>
      </c>
      <c r="B3315">
        <v>11392.78</v>
      </c>
      <c r="C3315" t="s">
        <v>3722</v>
      </c>
    </row>
    <row r="3316" spans="1:3" x14ac:dyDescent="0.3">
      <c r="A3316" s="426">
        <v>43690</v>
      </c>
      <c r="B3316">
        <v>11264.05</v>
      </c>
      <c r="C3316" t="s">
        <v>3723</v>
      </c>
    </row>
    <row r="3317" spans="1:3" x14ac:dyDescent="0.3">
      <c r="A3317" s="426">
        <v>43691</v>
      </c>
      <c r="B3317">
        <v>10538.9</v>
      </c>
      <c r="C3317" t="s">
        <v>3724</v>
      </c>
    </row>
    <row r="3318" spans="1:3" x14ac:dyDescent="0.3">
      <c r="A3318" s="426">
        <v>43692</v>
      </c>
      <c r="B3318">
        <v>10063.469999999999</v>
      </c>
      <c r="C3318" t="s">
        <v>3725</v>
      </c>
    </row>
    <row r="3319" spans="1:3" x14ac:dyDescent="0.3">
      <c r="A3319" s="426">
        <v>43693</v>
      </c>
      <c r="B3319">
        <v>10338.35</v>
      </c>
      <c r="C3319" t="s">
        <v>3726</v>
      </c>
    </row>
    <row r="3320" spans="1:3" x14ac:dyDescent="0.3">
      <c r="A3320" s="426">
        <v>43694</v>
      </c>
      <c r="B3320">
        <v>10342.82</v>
      </c>
      <c r="C3320" t="s">
        <v>3727</v>
      </c>
    </row>
    <row r="3321" spans="1:3" x14ac:dyDescent="0.3">
      <c r="A3321" s="426">
        <v>43695</v>
      </c>
      <c r="B3321">
        <v>10375.81</v>
      </c>
      <c r="C3321" t="s">
        <v>3728</v>
      </c>
    </row>
    <row r="3322" spans="1:3" x14ac:dyDescent="0.3">
      <c r="A3322" s="426">
        <v>43696</v>
      </c>
      <c r="B3322">
        <v>10700.94</v>
      </c>
      <c r="C3322" t="s">
        <v>3729</v>
      </c>
    </row>
    <row r="3323" spans="1:3" x14ac:dyDescent="0.3">
      <c r="A3323" s="426">
        <v>43697</v>
      </c>
      <c r="B3323">
        <v>10760.19</v>
      </c>
      <c r="C3323" t="s">
        <v>3730</v>
      </c>
    </row>
    <row r="3324" spans="1:3" x14ac:dyDescent="0.3">
      <c r="A3324" s="426">
        <v>43698</v>
      </c>
      <c r="B3324">
        <v>10176.42</v>
      </c>
      <c r="C3324" t="s">
        <v>3731</v>
      </c>
    </row>
    <row r="3325" spans="1:3" x14ac:dyDescent="0.3">
      <c r="A3325" s="426">
        <v>43699</v>
      </c>
      <c r="B3325">
        <v>10092.629999999999</v>
      </c>
      <c r="C3325" t="s">
        <v>3732</v>
      </c>
    </row>
    <row r="3326" spans="1:3" x14ac:dyDescent="0.3">
      <c r="A3326" s="426">
        <v>43700</v>
      </c>
      <c r="B3326">
        <v>10204.969999999999</v>
      </c>
      <c r="C3326" t="s">
        <v>3733</v>
      </c>
    </row>
    <row r="3327" spans="1:3" x14ac:dyDescent="0.3">
      <c r="A3327" s="426">
        <v>43701</v>
      </c>
      <c r="B3327">
        <v>10107.11</v>
      </c>
      <c r="C3327" t="s">
        <v>3734</v>
      </c>
    </row>
    <row r="3328" spans="1:3" x14ac:dyDescent="0.3">
      <c r="A3328" s="426">
        <v>43702</v>
      </c>
      <c r="B3328">
        <v>10108.41</v>
      </c>
      <c r="C3328" t="s">
        <v>3735</v>
      </c>
    </row>
    <row r="3329" spans="1:3" x14ac:dyDescent="0.3">
      <c r="A3329" s="426">
        <v>43703</v>
      </c>
      <c r="B3329">
        <v>10346.01</v>
      </c>
      <c r="C3329" t="s">
        <v>3736</v>
      </c>
    </row>
    <row r="3330" spans="1:3" x14ac:dyDescent="0.3">
      <c r="A3330" s="426">
        <v>43704</v>
      </c>
      <c r="B3330">
        <v>10185.32</v>
      </c>
      <c r="C3330" t="s">
        <v>3737</v>
      </c>
    </row>
    <row r="3331" spans="1:3" x14ac:dyDescent="0.3">
      <c r="A3331" s="426">
        <v>43705</v>
      </c>
      <c r="B3331">
        <v>10160.25</v>
      </c>
      <c r="C3331" t="s">
        <v>3738</v>
      </c>
    </row>
    <row r="3332" spans="1:3" x14ac:dyDescent="0.3">
      <c r="A3332" s="426">
        <v>43706</v>
      </c>
      <c r="B3332">
        <v>9518.6299999999992</v>
      </c>
      <c r="C3332" t="s">
        <v>3739</v>
      </c>
    </row>
    <row r="3333" spans="1:3" x14ac:dyDescent="0.3">
      <c r="A3333" s="426">
        <v>43707</v>
      </c>
      <c r="B3333">
        <v>9583.4699999999993</v>
      </c>
      <c r="C3333" t="s">
        <v>3740</v>
      </c>
    </row>
    <row r="3334" spans="1:3" x14ac:dyDescent="0.3">
      <c r="A3334" s="426">
        <v>43708</v>
      </c>
      <c r="B3334">
        <v>9619.83</v>
      </c>
      <c r="C3334" t="s">
        <v>3741</v>
      </c>
    </row>
    <row r="3335" spans="1:3" x14ac:dyDescent="0.3">
      <c r="A3335" s="426">
        <v>43709</v>
      </c>
      <c r="B3335">
        <v>9627.18</v>
      </c>
      <c r="C3335" t="s">
        <v>3742</v>
      </c>
    </row>
    <row r="3336" spans="1:3" x14ac:dyDescent="0.3">
      <c r="A3336" s="426">
        <v>43710</v>
      </c>
      <c r="B3336">
        <v>9844.93</v>
      </c>
      <c r="C3336" t="s">
        <v>3743</v>
      </c>
    </row>
    <row r="3337" spans="1:3" x14ac:dyDescent="0.3">
      <c r="A3337" s="426">
        <v>43711</v>
      </c>
      <c r="B3337">
        <v>10426.709999999999</v>
      </c>
      <c r="C3337" t="s">
        <v>3744</v>
      </c>
    </row>
    <row r="3338" spans="1:3" x14ac:dyDescent="0.3">
      <c r="A3338" s="426">
        <v>43712</v>
      </c>
      <c r="B3338">
        <v>10575.56</v>
      </c>
      <c r="C3338" t="s">
        <v>3745</v>
      </c>
    </row>
    <row r="3339" spans="1:3" x14ac:dyDescent="0.3">
      <c r="A3339" s="426">
        <v>43713</v>
      </c>
      <c r="B3339">
        <v>10568.54</v>
      </c>
      <c r="C3339" t="s">
        <v>3746</v>
      </c>
    </row>
    <row r="3340" spans="1:3" x14ac:dyDescent="0.3">
      <c r="A3340" s="426">
        <v>43714</v>
      </c>
      <c r="B3340">
        <v>10714.26</v>
      </c>
      <c r="C3340" t="s">
        <v>3747</v>
      </c>
    </row>
    <row r="3341" spans="1:3" x14ac:dyDescent="0.3">
      <c r="A3341" s="426">
        <v>43715</v>
      </c>
      <c r="B3341">
        <v>10419.26</v>
      </c>
      <c r="C3341" t="s">
        <v>3748</v>
      </c>
    </row>
    <row r="3342" spans="1:3" x14ac:dyDescent="0.3">
      <c r="A3342" s="426">
        <v>43716</v>
      </c>
      <c r="B3342">
        <v>10455.69</v>
      </c>
      <c r="C3342" t="s">
        <v>3749</v>
      </c>
    </row>
    <row r="3343" spans="1:3" x14ac:dyDescent="0.3">
      <c r="A3343" s="426">
        <v>43717</v>
      </c>
      <c r="B3343">
        <v>10336.41</v>
      </c>
      <c r="C3343" t="s">
        <v>3750</v>
      </c>
    </row>
    <row r="3344" spans="1:3" x14ac:dyDescent="0.3">
      <c r="A3344" s="426">
        <v>43718</v>
      </c>
      <c r="B3344">
        <v>10275.950000000001</v>
      </c>
      <c r="C3344" t="s">
        <v>3751</v>
      </c>
    </row>
    <row r="3345" spans="1:3" x14ac:dyDescent="0.3">
      <c r="A3345" s="426">
        <v>43719</v>
      </c>
      <c r="B3345">
        <v>10097.35</v>
      </c>
      <c r="C3345" t="s">
        <v>3752</v>
      </c>
    </row>
    <row r="3346" spans="1:3" x14ac:dyDescent="0.3">
      <c r="A3346" s="426">
        <v>43720</v>
      </c>
      <c r="B3346">
        <v>10231.06</v>
      </c>
      <c r="C3346" t="s">
        <v>3753</v>
      </c>
    </row>
    <row r="3347" spans="1:3" x14ac:dyDescent="0.3">
      <c r="A3347" s="426">
        <v>43721</v>
      </c>
      <c r="B3347">
        <v>10326.4</v>
      </c>
      <c r="C3347" t="s">
        <v>3754</v>
      </c>
    </row>
    <row r="3348" spans="1:3" x14ac:dyDescent="0.3">
      <c r="A3348" s="426">
        <v>43722</v>
      </c>
      <c r="B3348">
        <v>10342.85</v>
      </c>
      <c r="C3348" t="s">
        <v>3755</v>
      </c>
    </row>
    <row r="3349" spans="1:3" x14ac:dyDescent="0.3">
      <c r="A3349" s="426">
        <v>43723</v>
      </c>
      <c r="B3349">
        <v>10341.99</v>
      </c>
      <c r="C3349" t="s">
        <v>3756</v>
      </c>
    </row>
    <row r="3350" spans="1:3" x14ac:dyDescent="0.3">
      <c r="A3350" s="426">
        <v>43724</v>
      </c>
      <c r="B3350">
        <v>10346.49</v>
      </c>
      <c r="C3350" t="s">
        <v>3757</v>
      </c>
    </row>
    <row r="3351" spans="1:3" x14ac:dyDescent="0.3">
      <c r="A3351" s="426">
        <v>43725</v>
      </c>
      <c r="B3351">
        <v>10256.4</v>
      </c>
      <c r="C3351" t="s">
        <v>3758</v>
      </c>
    </row>
    <row r="3352" spans="1:3" x14ac:dyDescent="0.3">
      <c r="A3352" s="426">
        <v>43726</v>
      </c>
      <c r="B3352">
        <v>10226.450000000001</v>
      </c>
      <c r="C3352" t="s">
        <v>3759</v>
      </c>
    </row>
    <row r="3353" spans="1:3" x14ac:dyDescent="0.3">
      <c r="A3353" s="426">
        <v>43727</v>
      </c>
      <c r="B3353">
        <v>9913.5300000000007</v>
      </c>
      <c r="C3353" t="s">
        <v>3760</v>
      </c>
    </row>
    <row r="3354" spans="1:3" x14ac:dyDescent="0.3">
      <c r="A3354" s="426">
        <v>43728</v>
      </c>
      <c r="B3354">
        <v>10186.16</v>
      </c>
      <c r="C3354" t="s">
        <v>3761</v>
      </c>
    </row>
    <row r="3355" spans="1:3" x14ac:dyDescent="0.3">
      <c r="A3355" s="426">
        <v>43729</v>
      </c>
      <c r="B3355">
        <v>10059.629999999999</v>
      </c>
      <c r="C3355" t="s">
        <v>3762</v>
      </c>
    </row>
    <row r="3356" spans="1:3" x14ac:dyDescent="0.3">
      <c r="A3356" s="426">
        <v>43730</v>
      </c>
      <c r="B3356">
        <v>10030.06</v>
      </c>
      <c r="C3356" t="s">
        <v>3763</v>
      </c>
    </row>
    <row r="3357" spans="1:3" x14ac:dyDescent="0.3">
      <c r="A3357" s="426">
        <v>43731</v>
      </c>
      <c r="B3357">
        <v>9953.81</v>
      </c>
      <c r="C3357" t="s">
        <v>3764</v>
      </c>
    </row>
    <row r="3358" spans="1:3" x14ac:dyDescent="0.3">
      <c r="A3358" s="426">
        <v>43732</v>
      </c>
      <c r="B3358">
        <v>9733.25</v>
      </c>
      <c r="C3358" t="s">
        <v>3765</v>
      </c>
    </row>
    <row r="3359" spans="1:3" x14ac:dyDescent="0.3">
      <c r="A3359" s="426">
        <v>43733</v>
      </c>
      <c r="B3359">
        <v>8461.14</v>
      </c>
      <c r="C3359" t="s">
        <v>3766</v>
      </c>
    </row>
    <row r="3360" spans="1:3" x14ac:dyDescent="0.3">
      <c r="A3360" s="426">
        <v>43734</v>
      </c>
      <c r="B3360">
        <v>8423.49</v>
      </c>
      <c r="C3360" t="s">
        <v>3767</v>
      </c>
    </row>
    <row r="3361" spans="1:3" x14ac:dyDescent="0.3">
      <c r="A3361" s="426">
        <v>43735</v>
      </c>
      <c r="B3361">
        <v>8077.25</v>
      </c>
      <c r="C3361" t="s">
        <v>3768</v>
      </c>
    </row>
    <row r="3362" spans="1:3" x14ac:dyDescent="0.3">
      <c r="A3362" s="426">
        <v>43736</v>
      </c>
      <c r="B3362">
        <v>8207.99</v>
      </c>
      <c r="C3362" t="s">
        <v>3769</v>
      </c>
    </row>
    <row r="3363" spans="1:3" x14ac:dyDescent="0.3">
      <c r="A3363" s="426">
        <v>43737</v>
      </c>
      <c r="B3363">
        <v>8150.36</v>
      </c>
      <c r="C3363" t="s">
        <v>3770</v>
      </c>
    </row>
    <row r="3364" spans="1:3" x14ac:dyDescent="0.3">
      <c r="A3364" s="426">
        <v>43738</v>
      </c>
      <c r="B3364">
        <v>8092.14</v>
      </c>
      <c r="C3364" t="s">
        <v>3771</v>
      </c>
    </row>
    <row r="3365" spans="1:3" x14ac:dyDescent="0.3">
      <c r="A3365" s="426">
        <v>43739</v>
      </c>
      <c r="B3365">
        <v>8380.11</v>
      </c>
      <c r="C3365" t="s">
        <v>3772</v>
      </c>
    </row>
    <row r="3366" spans="1:3" x14ac:dyDescent="0.3">
      <c r="A3366" s="426">
        <v>43740</v>
      </c>
      <c r="B3366">
        <v>8283.52</v>
      </c>
      <c r="C3366" t="s">
        <v>3773</v>
      </c>
    </row>
    <row r="3367" spans="1:3" x14ac:dyDescent="0.3">
      <c r="A3367" s="426">
        <v>43741</v>
      </c>
      <c r="B3367">
        <v>8274.51</v>
      </c>
      <c r="C3367" t="s">
        <v>3774</v>
      </c>
    </row>
    <row r="3368" spans="1:3" x14ac:dyDescent="0.3">
      <c r="A3368" s="426">
        <v>43742</v>
      </c>
      <c r="B3368">
        <v>8193.7900000000009</v>
      </c>
      <c r="C3368" t="s">
        <v>3775</v>
      </c>
    </row>
    <row r="3369" spans="1:3" x14ac:dyDescent="0.3">
      <c r="A3369" s="426">
        <v>43743</v>
      </c>
      <c r="B3369">
        <v>8135.4</v>
      </c>
      <c r="C3369" t="s">
        <v>3776</v>
      </c>
    </row>
    <row r="3370" spans="1:3" x14ac:dyDescent="0.3">
      <c r="A3370" s="426">
        <v>43744</v>
      </c>
      <c r="B3370">
        <v>8054.07</v>
      </c>
      <c r="C3370" t="s">
        <v>3777</v>
      </c>
    </row>
    <row r="3371" spans="1:3" x14ac:dyDescent="0.3">
      <c r="A3371" s="426">
        <v>43745</v>
      </c>
      <c r="B3371">
        <v>8054.06</v>
      </c>
      <c r="C3371" t="s">
        <v>3778</v>
      </c>
    </row>
    <row r="3372" spans="1:3" x14ac:dyDescent="0.3">
      <c r="A3372" s="426">
        <v>43746</v>
      </c>
      <c r="B3372">
        <v>8230.01</v>
      </c>
      <c r="C3372" t="s">
        <v>3779</v>
      </c>
    </row>
    <row r="3373" spans="1:3" x14ac:dyDescent="0.3">
      <c r="A3373" s="426">
        <v>43747</v>
      </c>
      <c r="B3373">
        <v>8242.1200000000008</v>
      </c>
      <c r="C3373" t="s">
        <v>3780</v>
      </c>
    </row>
    <row r="3374" spans="1:3" x14ac:dyDescent="0.3">
      <c r="A3374" s="426">
        <v>43748</v>
      </c>
      <c r="B3374">
        <v>8566.1299999999992</v>
      </c>
      <c r="C3374" t="s">
        <v>3781</v>
      </c>
    </row>
    <row r="3375" spans="1:3" x14ac:dyDescent="0.3">
      <c r="A3375" s="426">
        <v>43749</v>
      </c>
      <c r="B3375">
        <v>8383.92</v>
      </c>
      <c r="C3375" t="s">
        <v>3782</v>
      </c>
    </row>
    <row r="3376" spans="1:3" x14ac:dyDescent="0.3">
      <c r="A3376" s="426">
        <v>43750</v>
      </c>
      <c r="B3376">
        <v>8357.32</v>
      </c>
      <c r="C3376" t="s">
        <v>3783</v>
      </c>
    </row>
    <row r="3377" spans="1:3" x14ac:dyDescent="0.3">
      <c r="A3377" s="426">
        <v>43751</v>
      </c>
      <c r="B3377">
        <v>8359.42</v>
      </c>
      <c r="C3377" t="s">
        <v>3784</v>
      </c>
    </row>
    <row r="3378" spans="1:3" x14ac:dyDescent="0.3">
      <c r="A3378" s="426">
        <v>43752</v>
      </c>
      <c r="B3378">
        <v>8347.1200000000008</v>
      </c>
      <c r="C3378" t="s">
        <v>3785</v>
      </c>
    </row>
    <row r="3379" spans="1:3" x14ac:dyDescent="0.3">
      <c r="A3379" s="426">
        <v>43753</v>
      </c>
      <c r="B3379">
        <v>8327.8700000000008</v>
      </c>
      <c r="C3379" t="s">
        <v>3786</v>
      </c>
    </row>
    <row r="3380" spans="1:3" x14ac:dyDescent="0.3">
      <c r="A3380" s="426">
        <v>43754</v>
      </c>
      <c r="B3380">
        <v>8048.79</v>
      </c>
      <c r="C3380" t="s">
        <v>3787</v>
      </c>
    </row>
    <row r="3381" spans="1:3" x14ac:dyDescent="0.3">
      <c r="A3381" s="426">
        <v>43755</v>
      </c>
      <c r="B3381">
        <v>8086.43</v>
      </c>
      <c r="C3381" t="s">
        <v>3788</v>
      </c>
    </row>
    <row r="3382" spans="1:3" x14ac:dyDescent="0.3">
      <c r="A3382" s="426">
        <v>43756</v>
      </c>
      <c r="B3382">
        <v>7967.85</v>
      </c>
      <c r="C3382" t="s">
        <v>3789</v>
      </c>
    </row>
    <row r="3383" spans="1:3" x14ac:dyDescent="0.3">
      <c r="A3383" s="426">
        <v>43757</v>
      </c>
      <c r="B3383">
        <v>7988.42</v>
      </c>
      <c r="C3383" t="s">
        <v>3790</v>
      </c>
    </row>
    <row r="3384" spans="1:3" x14ac:dyDescent="0.3">
      <c r="A3384" s="426">
        <v>43758</v>
      </c>
      <c r="B3384">
        <v>8000.98</v>
      </c>
      <c r="C3384" t="s">
        <v>3791</v>
      </c>
    </row>
    <row r="3385" spans="1:3" x14ac:dyDescent="0.3">
      <c r="A3385" s="426">
        <v>43759</v>
      </c>
      <c r="B3385">
        <v>8242.9500000000007</v>
      </c>
      <c r="C3385" t="s">
        <v>3792</v>
      </c>
    </row>
    <row r="3386" spans="1:3" x14ac:dyDescent="0.3">
      <c r="A3386" s="426">
        <v>43760</v>
      </c>
      <c r="B3386">
        <v>8235.4599999999991</v>
      </c>
      <c r="C3386" t="s">
        <v>3793</v>
      </c>
    </row>
    <row r="3387" spans="1:3" x14ac:dyDescent="0.3">
      <c r="A3387" s="426">
        <v>43761</v>
      </c>
      <c r="B3387">
        <v>7995.76</v>
      </c>
      <c r="C3387" t="s">
        <v>3794</v>
      </c>
    </row>
    <row r="3388" spans="1:3" x14ac:dyDescent="0.3">
      <c r="A3388" s="426">
        <v>43762</v>
      </c>
      <c r="B3388">
        <v>7498.88</v>
      </c>
      <c r="C3388" t="s">
        <v>3795</v>
      </c>
    </row>
    <row r="3389" spans="1:3" x14ac:dyDescent="0.3">
      <c r="A3389" s="426">
        <v>43763</v>
      </c>
      <c r="B3389">
        <v>7650.17</v>
      </c>
      <c r="C3389" t="s">
        <v>3796</v>
      </c>
    </row>
    <row r="3390" spans="1:3" x14ac:dyDescent="0.3">
      <c r="A3390" s="426">
        <v>43764</v>
      </c>
      <c r="B3390">
        <v>9215.99</v>
      </c>
      <c r="C3390" t="s">
        <v>3797</v>
      </c>
    </row>
    <row r="3391" spans="1:3" x14ac:dyDescent="0.3">
      <c r="A3391" s="426">
        <v>43765</v>
      </c>
      <c r="B3391">
        <v>9387.11</v>
      </c>
      <c r="C3391" t="s">
        <v>3798</v>
      </c>
    </row>
    <row r="3392" spans="1:3" x14ac:dyDescent="0.3">
      <c r="A3392" s="426">
        <v>43766</v>
      </c>
      <c r="B3392">
        <v>9417.56</v>
      </c>
      <c r="C3392" t="s">
        <v>3799</v>
      </c>
    </row>
    <row r="3393" spans="1:3" x14ac:dyDescent="0.3">
      <c r="A3393" s="426">
        <v>43767</v>
      </c>
      <c r="B3393">
        <v>9414.81</v>
      </c>
      <c r="C3393" t="s">
        <v>3800</v>
      </c>
    </row>
    <row r="3394" spans="1:3" x14ac:dyDescent="0.3">
      <c r="A3394" s="426">
        <v>43768</v>
      </c>
      <c r="B3394">
        <v>9218.0400000000009</v>
      </c>
      <c r="C3394" t="s">
        <v>3801</v>
      </c>
    </row>
    <row r="3395" spans="1:3" x14ac:dyDescent="0.3">
      <c r="A3395" s="426">
        <v>43769</v>
      </c>
      <c r="B3395">
        <v>9183.7800000000007</v>
      </c>
      <c r="C3395" t="s">
        <v>3802</v>
      </c>
    </row>
    <row r="3396" spans="1:3" x14ac:dyDescent="0.3">
      <c r="A3396" s="426">
        <v>43770</v>
      </c>
      <c r="B3396">
        <v>9173.91</v>
      </c>
      <c r="C3396" t="s">
        <v>3803</v>
      </c>
    </row>
    <row r="3397" spans="1:3" x14ac:dyDescent="0.3">
      <c r="A3397" s="426">
        <v>43771</v>
      </c>
      <c r="B3397">
        <v>9299.9</v>
      </c>
      <c r="C3397" t="s">
        <v>3804</v>
      </c>
    </row>
    <row r="3398" spans="1:3" x14ac:dyDescent="0.3">
      <c r="A3398" s="426">
        <v>43772</v>
      </c>
      <c r="B3398">
        <v>9232.1</v>
      </c>
      <c r="C3398" t="s">
        <v>3805</v>
      </c>
    </row>
    <row r="3399" spans="1:3" x14ac:dyDescent="0.3">
      <c r="A3399" s="426">
        <v>43773</v>
      </c>
      <c r="B3399">
        <v>9244.7800000000007</v>
      </c>
      <c r="C3399" t="s">
        <v>3806</v>
      </c>
    </row>
    <row r="3400" spans="1:3" x14ac:dyDescent="0.3">
      <c r="A3400" s="426">
        <v>43774</v>
      </c>
      <c r="B3400">
        <v>9359.81</v>
      </c>
      <c r="C3400" t="s">
        <v>3807</v>
      </c>
    </row>
    <row r="3401" spans="1:3" x14ac:dyDescent="0.3">
      <c r="A3401" s="426">
        <v>43775</v>
      </c>
      <c r="B3401">
        <v>9354.82</v>
      </c>
      <c r="C3401" t="s">
        <v>3808</v>
      </c>
    </row>
    <row r="3402" spans="1:3" x14ac:dyDescent="0.3">
      <c r="A3402" s="426">
        <v>43776</v>
      </c>
      <c r="B3402">
        <v>9258.24</v>
      </c>
      <c r="C3402" t="s">
        <v>3809</v>
      </c>
    </row>
    <row r="3403" spans="1:3" x14ac:dyDescent="0.3">
      <c r="A3403" s="426">
        <v>43777</v>
      </c>
      <c r="B3403">
        <v>9054.0499999999993</v>
      </c>
      <c r="C3403" t="s">
        <v>3810</v>
      </c>
    </row>
    <row r="3404" spans="1:3" x14ac:dyDescent="0.3">
      <c r="A3404" s="426">
        <v>43778</v>
      </c>
      <c r="B3404">
        <v>8841.94</v>
      </c>
      <c r="C3404" t="s">
        <v>3811</v>
      </c>
    </row>
    <row r="3405" spans="1:3" x14ac:dyDescent="0.3">
      <c r="A3405" s="426">
        <v>43779</v>
      </c>
      <c r="B3405">
        <v>8877.7999999999993</v>
      </c>
      <c r="C3405" t="s">
        <v>3812</v>
      </c>
    </row>
    <row r="3406" spans="1:3" x14ac:dyDescent="0.3">
      <c r="A3406" s="426">
        <v>43780</v>
      </c>
      <c r="B3406">
        <v>8775.4699999999993</v>
      </c>
      <c r="C3406" t="s">
        <v>3813</v>
      </c>
    </row>
    <row r="3407" spans="1:3" x14ac:dyDescent="0.3">
      <c r="A3407" s="426">
        <v>43781</v>
      </c>
      <c r="B3407">
        <v>8783.85</v>
      </c>
      <c r="C3407" t="s">
        <v>3814</v>
      </c>
    </row>
    <row r="3408" spans="1:3" x14ac:dyDescent="0.3">
      <c r="A3408" s="426">
        <v>43782</v>
      </c>
      <c r="B3408">
        <v>8800.82</v>
      </c>
      <c r="C3408" t="s">
        <v>3815</v>
      </c>
    </row>
    <row r="3409" spans="1:3" x14ac:dyDescent="0.3">
      <c r="A3409" s="426">
        <v>43783</v>
      </c>
      <c r="B3409">
        <v>8721.5499999999993</v>
      </c>
      <c r="C3409" t="s">
        <v>3816</v>
      </c>
    </row>
    <row r="3410" spans="1:3" x14ac:dyDescent="0.3">
      <c r="A3410" s="426">
        <v>43784</v>
      </c>
      <c r="B3410">
        <v>8629.4599999999991</v>
      </c>
      <c r="C3410" t="s">
        <v>3817</v>
      </c>
    </row>
    <row r="3411" spans="1:3" x14ac:dyDescent="0.3">
      <c r="A3411" s="426">
        <v>43785</v>
      </c>
      <c r="B3411">
        <v>8535.85</v>
      </c>
      <c r="C3411" t="s">
        <v>3818</v>
      </c>
    </row>
    <row r="3412" spans="1:3" x14ac:dyDescent="0.3">
      <c r="A3412" s="426">
        <v>43786</v>
      </c>
      <c r="B3412">
        <v>8596.93</v>
      </c>
      <c r="C3412" t="s">
        <v>3819</v>
      </c>
    </row>
    <row r="3413" spans="1:3" x14ac:dyDescent="0.3">
      <c r="A3413" s="426">
        <v>43787</v>
      </c>
      <c r="B3413">
        <v>8541.4</v>
      </c>
      <c r="C3413" t="s">
        <v>3820</v>
      </c>
    </row>
    <row r="3414" spans="1:3" x14ac:dyDescent="0.3">
      <c r="A3414" s="426">
        <v>43788</v>
      </c>
      <c r="B3414">
        <v>8207.24</v>
      </c>
      <c r="C3414" t="s">
        <v>3821</v>
      </c>
    </row>
    <row r="3415" spans="1:3" x14ac:dyDescent="0.3">
      <c r="A3415" s="426">
        <v>43789</v>
      </c>
      <c r="B3415">
        <v>8117.53</v>
      </c>
      <c r="C3415" t="s">
        <v>3822</v>
      </c>
    </row>
    <row r="3416" spans="1:3" x14ac:dyDescent="0.3">
      <c r="A3416" s="426">
        <v>43790</v>
      </c>
      <c r="B3416">
        <v>7960.81</v>
      </c>
      <c r="C3416" t="s">
        <v>3823</v>
      </c>
    </row>
    <row r="3417" spans="1:3" x14ac:dyDescent="0.3">
      <c r="A3417" s="426">
        <v>43791</v>
      </c>
      <c r="B3417">
        <v>7359.04</v>
      </c>
      <c r="C3417" t="s">
        <v>3824</v>
      </c>
    </row>
    <row r="3418" spans="1:3" x14ac:dyDescent="0.3">
      <c r="A3418" s="426">
        <v>43792</v>
      </c>
      <c r="B3418">
        <v>7268.49</v>
      </c>
      <c r="C3418" t="s">
        <v>3825</v>
      </c>
    </row>
    <row r="3419" spans="1:3" x14ac:dyDescent="0.3">
      <c r="A3419" s="426">
        <v>43793</v>
      </c>
      <c r="B3419">
        <v>7259.17</v>
      </c>
      <c r="C3419" t="s">
        <v>3826</v>
      </c>
    </row>
    <row r="3420" spans="1:3" x14ac:dyDescent="0.3">
      <c r="A3420" s="426">
        <v>43794</v>
      </c>
      <c r="B3420">
        <v>7081.23</v>
      </c>
      <c r="C3420" t="s">
        <v>3827</v>
      </c>
    </row>
    <row r="3421" spans="1:3" x14ac:dyDescent="0.3">
      <c r="A3421" s="426">
        <v>43795</v>
      </c>
      <c r="B3421">
        <v>7196.95</v>
      </c>
      <c r="C3421" t="s">
        <v>3828</v>
      </c>
    </row>
    <row r="3422" spans="1:3" x14ac:dyDescent="0.3">
      <c r="A3422" s="426">
        <v>43796</v>
      </c>
      <c r="B3422">
        <v>7260.76</v>
      </c>
      <c r="C3422" t="s">
        <v>3829</v>
      </c>
    </row>
    <row r="3423" spans="1:3" x14ac:dyDescent="0.3">
      <c r="A3423" s="426">
        <v>43797</v>
      </c>
      <c r="B3423">
        <v>7556.92</v>
      </c>
      <c r="C3423" t="s">
        <v>3830</v>
      </c>
    </row>
    <row r="3424" spans="1:3" x14ac:dyDescent="0.3">
      <c r="A3424" s="426">
        <v>43798</v>
      </c>
      <c r="B3424">
        <v>7582.33</v>
      </c>
      <c r="C3424" t="s">
        <v>3831</v>
      </c>
    </row>
    <row r="3425" spans="1:3" x14ac:dyDescent="0.3">
      <c r="A3425" s="426">
        <v>43799</v>
      </c>
      <c r="B3425">
        <v>7721.25</v>
      </c>
      <c r="C3425" t="s">
        <v>3832</v>
      </c>
    </row>
    <row r="3426" spans="1:3" x14ac:dyDescent="0.3">
      <c r="A3426" s="426">
        <v>43800</v>
      </c>
      <c r="B3426">
        <v>7367.74</v>
      </c>
      <c r="C3426" t="s">
        <v>3833</v>
      </c>
    </row>
    <row r="3427" spans="1:3" x14ac:dyDescent="0.3">
      <c r="A3427" s="426">
        <v>43801</v>
      </c>
      <c r="B3427">
        <v>7303.79</v>
      </c>
      <c r="C3427" t="s">
        <v>3834</v>
      </c>
    </row>
    <row r="3428" spans="1:3" x14ac:dyDescent="0.3">
      <c r="A3428" s="426">
        <v>43802</v>
      </c>
      <c r="B3428">
        <v>7332.76</v>
      </c>
      <c r="C3428" t="s">
        <v>3835</v>
      </c>
    </row>
    <row r="3429" spans="1:3" x14ac:dyDescent="0.3">
      <c r="A3429" s="426">
        <v>43803</v>
      </c>
      <c r="B3429">
        <v>7261.55</v>
      </c>
      <c r="C3429" t="s">
        <v>3836</v>
      </c>
    </row>
    <row r="3430" spans="1:3" x14ac:dyDescent="0.3">
      <c r="A3430" s="426">
        <v>43804</v>
      </c>
      <c r="B3430">
        <v>7360.78</v>
      </c>
      <c r="C3430" t="s">
        <v>3837</v>
      </c>
    </row>
    <row r="3431" spans="1:3" x14ac:dyDescent="0.3">
      <c r="A3431" s="426">
        <v>43805</v>
      </c>
      <c r="B3431">
        <v>7437.5</v>
      </c>
      <c r="C3431" t="s">
        <v>3838</v>
      </c>
    </row>
    <row r="3432" spans="1:3" x14ac:dyDescent="0.3">
      <c r="A3432" s="426">
        <v>43806</v>
      </c>
      <c r="B3432">
        <v>7563.39</v>
      </c>
      <c r="C3432" t="s">
        <v>3839</v>
      </c>
    </row>
    <row r="3433" spans="1:3" x14ac:dyDescent="0.3">
      <c r="A3433" s="426">
        <v>43807</v>
      </c>
      <c r="B3433">
        <v>7557.81</v>
      </c>
      <c r="C3433" t="s">
        <v>3840</v>
      </c>
    </row>
    <row r="3434" spans="1:3" x14ac:dyDescent="0.3">
      <c r="A3434" s="426">
        <v>43808</v>
      </c>
      <c r="B3434">
        <v>7493.63</v>
      </c>
      <c r="C3434" t="s">
        <v>3841</v>
      </c>
    </row>
    <row r="3435" spans="1:3" x14ac:dyDescent="0.3">
      <c r="A3435" s="426">
        <v>43809</v>
      </c>
      <c r="B3435">
        <v>7350.45</v>
      </c>
      <c r="C3435" t="s">
        <v>3842</v>
      </c>
    </row>
    <row r="3436" spans="1:3" x14ac:dyDescent="0.3">
      <c r="A3436" s="426">
        <v>43810</v>
      </c>
      <c r="B3436">
        <v>7266.36</v>
      </c>
      <c r="C3436" t="s">
        <v>3843</v>
      </c>
    </row>
    <row r="3437" spans="1:3" x14ac:dyDescent="0.3">
      <c r="A3437" s="426">
        <v>43811</v>
      </c>
      <c r="B3437">
        <v>7213.05</v>
      </c>
      <c r="C3437" t="s">
        <v>3844</v>
      </c>
    </row>
    <row r="3438" spans="1:3" x14ac:dyDescent="0.3">
      <c r="A3438" s="426">
        <v>43812</v>
      </c>
      <c r="B3438">
        <v>7257.89</v>
      </c>
      <c r="C3438" t="s">
        <v>3845</v>
      </c>
    </row>
    <row r="3439" spans="1:3" x14ac:dyDescent="0.3">
      <c r="A3439" s="426">
        <v>43813</v>
      </c>
      <c r="B3439">
        <v>7215.06</v>
      </c>
      <c r="C3439" t="s">
        <v>3846</v>
      </c>
    </row>
    <row r="3440" spans="1:3" x14ac:dyDescent="0.3">
      <c r="A3440" s="426">
        <v>43814</v>
      </c>
      <c r="B3440">
        <v>7126.95</v>
      </c>
      <c r="C3440" t="s">
        <v>3847</v>
      </c>
    </row>
    <row r="3441" spans="1:3" x14ac:dyDescent="0.3">
      <c r="A3441" s="426">
        <v>43815</v>
      </c>
      <c r="B3441">
        <v>7103.14</v>
      </c>
      <c r="C3441" t="s">
        <v>3848</v>
      </c>
    </row>
    <row r="3442" spans="1:3" x14ac:dyDescent="0.3">
      <c r="A3442" s="426">
        <v>43816</v>
      </c>
      <c r="B3442">
        <v>6921.75</v>
      </c>
      <c r="C3442" t="s">
        <v>3849</v>
      </c>
    </row>
    <row r="3443" spans="1:3" x14ac:dyDescent="0.3">
      <c r="A3443" s="426">
        <v>43817</v>
      </c>
      <c r="B3443">
        <v>6699.29</v>
      </c>
      <c r="C3443" t="s">
        <v>3850</v>
      </c>
    </row>
    <row r="3444" spans="1:3" x14ac:dyDescent="0.3">
      <c r="A3444" s="426">
        <v>43818</v>
      </c>
      <c r="B3444">
        <v>7182.5</v>
      </c>
      <c r="C3444" t="s">
        <v>3851</v>
      </c>
    </row>
    <row r="3445" spans="1:3" x14ac:dyDescent="0.3">
      <c r="A3445" s="426">
        <v>43819</v>
      </c>
      <c r="B3445">
        <v>7202.07</v>
      </c>
      <c r="C3445" t="s">
        <v>3852</v>
      </c>
    </row>
    <row r="3446" spans="1:3" x14ac:dyDescent="0.3">
      <c r="A3446" s="426">
        <v>43820</v>
      </c>
      <c r="B3446">
        <v>7190.52</v>
      </c>
      <c r="C3446" t="s">
        <v>3853</v>
      </c>
    </row>
    <row r="3447" spans="1:3" x14ac:dyDescent="0.3">
      <c r="A3447" s="426">
        <v>43821</v>
      </c>
      <c r="B3447">
        <v>7214.33</v>
      </c>
      <c r="C3447" t="s">
        <v>3854</v>
      </c>
    </row>
    <row r="3448" spans="1:3" x14ac:dyDescent="0.3">
      <c r="A3448" s="426">
        <v>43822</v>
      </c>
      <c r="B3448">
        <v>7562.47</v>
      </c>
      <c r="C3448" t="s">
        <v>3855</v>
      </c>
    </row>
    <row r="3449" spans="1:3" x14ac:dyDescent="0.3">
      <c r="A3449" s="426">
        <v>43823</v>
      </c>
      <c r="B3449">
        <v>7339.4</v>
      </c>
      <c r="C3449" t="s">
        <v>3856</v>
      </c>
    </row>
    <row r="3450" spans="1:3" x14ac:dyDescent="0.3">
      <c r="A3450" s="426">
        <v>43824</v>
      </c>
      <c r="B3450">
        <v>7279.47</v>
      </c>
      <c r="C3450" t="s">
        <v>3857</v>
      </c>
    </row>
    <row r="3451" spans="1:3" x14ac:dyDescent="0.3">
      <c r="A3451" s="426">
        <v>43825</v>
      </c>
      <c r="B3451">
        <v>7266.52</v>
      </c>
      <c r="C3451" t="s">
        <v>3858</v>
      </c>
    </row>
    <row r="3452" spans="1:3" x14ac:dyDescent="0.3">
      <c r="A3452" s="426">
        <v>43826</v>
      </c>
      <c r="B3452">
        <v>7246.71</v>
      </c>
      <c r="C3452" t="s">
        <v>3859</v>
      </c>
    </row>
    <row r="3453" spans="1:3" x14ac:dyDescent="0.3">
      <c r="A3453" s="426">
        <v>43827</v>
      </c>
      <c r="B3453">
        <v>7337.99</v>
      </c>
      <c r="C3453" t="s">
        <v>3860</v>
      </c>
    </row>
    <row r="3454" spans="1:3" x14ac:dyDescent="0.3">
      <c r="A3454" s="426">
        <v>43828</v>
      </c>
      <c r="B3454">
        <v>7427.64</v>
      </c>
      <c r="C3454" t="s">
        <v>3861</v>
      </c>
    </row>
    <row r="3455" spans="1:3" x14ac:dyDescent="0.3">
      <c r="A3455" s="426">
        <v>43829</v>
      </c>
      <c r="B3455">
        <v>7362.64</v>
      </c>
      <c r="C3455" t="s">
        <v>3862</v>
      </c>
    </row>
    <row r="3456" spans="1:3" x14ac:dyDescent="0.3">
      <c r="A3456" s="426">
        <v>43830</v>
      </c>
      <c r="B3456">
        <v>7271.6</v>
      </c>
      <c r="C3456" t="s">
        <v>3863</v>
      </c>
    </row>
    <row r="3457" spans="1:3" x14ac:dyDescent="0.3">
      <c r="A3457" s="426">
        <v>43831</v>
      </c>
      <c r="B3457">
        <v>7221.23</v>
      </c>
      <c r="C3457" t="s">
        <v>3864</v>
      </c>
    </row>
    <row r="3458" spans="1:3" x14ac:dyDescent="0.3">
      <c r="A3458" s="426">
        <v>43832</v>
      </c>
      <c r="B3458">
        <v>7143.42</v>
      </c>
      <c r="C3458" t="s">
        <v>3865</v>
      </c>
    </row>
    <row r="3459" spans="1:3" x14ac:dyDescent="0.3">
      <c r="A3459" s="426">
        <v>43833</v>
      </c>
      <c r="B3459">
        <v>7322</v>
      </c>
      <c r="C3459" t="s">
        <v>3866</v>
      </c>
    </row>
    <row r="3460" spans="1:3" x14ac:dyDescent="0.3">
      <c r="A3460" s="426">
        <v>43834</v>
      </c>
      <c r="B3460">
        <v>7357.6</v>
      </c>
      <c r="C3460" t="s">
        <v>3867</v>
      </c>
    </row>
    <row r="3461" spans="1:3" x14ac:dyDescent="0.3">
      <c r="A3461" s="426">
        <v>43835</v>
      </c>
      <c r="B3461">
        <v>7494.66</v>
      </c>
      <c r="C3461" t="s">
        <v>3868</v>
      </c>
    </row>
    <row r="3462" spans="1:3" x14ac:dyDescent="0.3">
      <c r="A3462" s="426">
        <v>43836</v>
      </c>
      <c r="B3462">
        <v>7578.88</v>
      </c>
      <c r="C3462" t="s">
        <v>3869</v>
      </c>
    </row>
    <row r="3463" spans="1:3" x14ac:dyDescent="0.3">
      <c r="A3463" s="426">
        <v>43837</v>
      </c>
      <c r="B3463">
        <v>7911.7</v>
      </c>
      <c r="C3463" t="s">
        <v>3870</v>
      </c>
    </row>
    <row r="3464" spans="1:3" x14ac:dyDescent="0.3">
      <c r="A3464" s="426">
        <v>43838</v>
      </c>
      <c r="B3464">
        <v>8318.67</v>
      </c>
      <c r="C3464" t="s">
        <v>3871</v>
      </c>
    </row>
    <row r="3465" spans="1:3" x14ac:dyDescent="0.3">
      <c r="A3465" s="426">
        <v>43839</v>
      </c>
      <c r="B3465">
        <v>7930.66</v>
      </c>
      <c r="C3465" t="s">
        <v>3872</v>
      </c>
    </row>
    <row r="3466" spans="1:3" x14ac:dyDescent="0.3">
      <c r="A3466" s="426">
        <v>43840</v>
      </c>
      <c r="B3466">
        <v>7879.95</v>
      </c>
      <c r="C3466" t="s">
        <v>3873</v>
      </c>
    </row>
    <row r="3467" spans="1:3" x14ac:dyDescent="0.3">
      <c r="A3467" s="426">
        <v>43841</v>
      </c>
      <c r="B3467">
        <v>8110.45</v>
      </c>
      <c r="C3467" t="s">
        <v>3874</v>
      </c>
    </row>
    <row r="3468" spans="1:3" x14ac:dyDescent="0.3">
      <c r="A3468" s="426">
        <v>43842</v>
      </c>
      <c r="B3468">
        <v>8144.23</v>
      </c>
      <c r="C3468" t="s">
        <v>3875</v>
      </c>
    </row>
    <row r="3469" spans="1:3" x14ac:dyDescent="0.3">
      <c r="A3469" s="426">
        <v>43843</v>
      </c>
      <c r="B3469">
        <v>8140.93</v>
      </c>
      <c r="C3469" t="s">
        <v>3876</v>
      </c>
    </row>
    <row r="3470" spans="1:3" x14ac:dyDescent="0.3">
      <c r="A3470" s="426">
        <v>43844</v>
      </c>
      <c r="B3470">
        <v>8549.85</v>
      </c>
      <c r="C3470" t="s">
        <v>3877</v>
      </c>
    </row>
    <row r="3471" spans="1:3" x14ac:dyDescent="0.3">
      <c r="A3471" s="426">
        <v>43845</v>
      </c>
      <c r="B3471">
        <v>8763.6200000000008</v>
      </c>
      <c r="C3471" t="s">
        <v>3878</v>
      </c>
    </row>
    <row r="3472" spans="1:3" x14ac:dyDescent="0.3">
      <c r="A3472" s="426">
        <v>43846</v>
      </c>
      <c r="B3472">
        <v>8684.3799999999992</v>
      </c>
      <c r="C3472" t="s">
        <v>3879</v>
      </c>
    </row>
    <row r="3473" spans="1:3" x14ac:dyDescent="0.3">
      <c r="A3473" s="426">
        <v>43847</v>
      </c>
      <c r="B3473">
        <v>8886.27</v>
      </c>
      <c r="C3473" t="s">
        <v>3880</v>
      </c>
    </row>
    <row r="3474" spans="1:3" x14ac:dyDescent="0.3">
      <c r="A3474" s="426">
        <v>43848</v>
      </c>
      <c r="B3474">
        <v>8903.36</v>
      </c>
      <c r="C3474" t="s">
        <v>3881</v>
      </c>
    </row>
    <row r="3475" spans="1:3" x14ac:dyDescent="0.3">
      <c r="A3475" s="426">
        <v>43849</v>
      </c>
      <c r="B3475">
        <v>8726.25</v>
      </c>
      <c r="C3475" t="s">
        <v>3882</v>
      </c>
    </row>
    <row r="3476" spans="1:3" x14ac:dyDescent="0.3">
      <c r="A3476" s="426">
        <v>43850</v>
      </c>
      <c r="B3476">
        <v>8669.7199999999993</v>
      </c>
      <c r="C3476" t="s">
        <v>3883</v>
      </c>
    </row>
    <row r="3477" spans="1:3" x14ac:dyDescent="0.3">
      <c r="A3477" s="426">
        <v>43851</v>
      </c>
      <c r="B3477">
        <v>8660.11</v>
      </c>
      <c r="C3477" t="s">
        <v>3884</v>
      </c>
    </row>
    <row r="3478" spans="1:3" x14ac:dyDescent="0.3">
      <c r="A3478" s="426">
        <v>43852</v>
      </c>
      <c r="B3478">
        <v>8674.89</v>
      </c>
      <c r="C3478" t="s">
        <v>3885</v>
      </c>
    </row>
    <row r="3479" spans="1:3" x14ac:dyDescent="0.3">
      <c r="A3479" s="426">
        <v>43853</v>
      </c>
      <c r="B3479">
        <v>8444.27</v>
      </c>
      <c r="C3479" t="s">
        <v>3886</v>
      </c>
    </row>
    <row r="3480" spans="1:3" x14ac:dyDescent="0.3">
      <c r="A3480" s="426">
        <v>43854</v>
      </c>
      <c r="B3480">
        <v>8411.89</v>
      </c>
      <c r="C3480" t="s">
        <v>3887</v>
      </c>
    </row>
    <row r="3481" spans="1:3" x14ac:dyDescent="0.3">
      <c r="A3481" s="426">
        <v>43855</v>
      </c>
      <c r="B3481">
        <v>8345.4500000000007</v>
      </c>
      <c r="C3481" t="s">
        <v>3888</v>
      </c>
    </row>
    <row r="3482" spans="1:3" x14ac:dyDescent="0.3">
      <c r="A3482" s="426">
        <v>43856</v>
      </c>
      <c r="B3482">
        <v>8459.61</v>
      </c>
      <c r="C3482" t="s">
        <v>3889</v>
      </c>
    </row>
    <row r="3483" spans="1:3" x14ac:dyDescent="0.3">
      <c r="A3483" s="426">
        <v>43857</v>
      </c>
      <c r="B3483">
        <v>8711.65</v>
      </c>
      <c r="C3483" t="s">
        <v>3890</v>
      </c>
    </row>
    <row r="3484" spans="1:3" x14ac:dyDescent="0.3">
      <c r="A3484" s="426">
        <v>43858</v>
      </c>
      <c r="B3484">
        <v>9048.7800000000007</v>
      </c>
      <c r="C3484" t="s">
        <v>3891</v>
      </c>
    </row>
    <row r="3485" spans="1:3" x14ac:dyDescent="0.3">
      <c r="A3485" s="426">
        <v>43859</v>
      </c>
      <c r="B3485">
        <v>9337.81</v>
      </c>
      <c r="C3485" t="s">
        <v>3892</v>
      </c>
    </row>
    <row r="3486" spans="1:3" x14ac:dyDescent="0.3">
      <c r="A3486" s="426">
        <v>43860</v>
      </c>
      <c r="B3486">
        <v>9359.6200000000008</v>
      </c>
      <c r="C3486" t="s">
        <v>3893</v>
      </c>
    </row>
    <row r="3487" spans="1:3" x14ac:dyDescent="0.3">
      <c r="A3487" s="426">
        <v>43861</v>
      </c>
      <c r="B3487">
        <v>9351.02</v>
      </c>
      <c r="C3487" t="s">
        <v>3894</v>
      </c>
    </row>
    <row r="3488" spans="1:3" x14ac:dyDescent="0.3">
      <c r="A3488" s="426">
        <v>43862</v>
      </c>
      <c r="B3488">
        <v>9381.84</v>
      </c>
      <c r="C3488" t="s">
        <v>3895</v>
      </c>
    </row>
    <row r="3489" spans="1:3" x14ac:dyDescent="0.3">
      <c r="A3489" s="426">
        <v>43863</v>
      </c>
      <c r="B3489">
        <v>9396.5499999999993</v>
      </c>
      <c r="C3489" t="s">
        <v>3896</v>
      </c>
    </row>
    <row r="3490" spans="1:3" x14ac:dyDescent="0.3">
      <c r="A3490" s="426">
        <v>43864</v>
      </c>
      <c r="B3490">
        <v>9345.69</v>
      </c>
      <c r="C3490" t="s">
        <v>3897</v>
      </c>
    </row>
    <row r="3491" spans="1:3" x14ac:dyDescent="0.3">
      <c r="A3491" s="426">
        <v>43865</v>
      </c>
      <c r="B3491">
        <v>9200.36</v>
      </c>
      <c r="C3491" t="s">
        <v>3898</v>
      </c>
    </row>
    <row r="3492" spans="1:3" x14ac:dyDescent="0.3">
      <c r="A3492" s="426">
        <v>43866</v>
      </c>
      <c r="B3492">
        <v>9424.9699999999993</v>
      </c>
      <c r="C3492" t="s">
        <v>3899</v>
      </c>
    </row>
    <row r="3493" spans="1:3" x14ac:dyDescent="0.3">
      <c r="A3493" s="426">
        <v>43867</v>
      </c>
      <c r="B3493">
        <v>9628.83</v>
      </c>
      <c r="C3493" t="s">
        <v>3900</v>
      </c>
    </row>
    <row r="3494" spans="1:3" x14ac:dyDescent="0.3">
      <c r="A3494" s="426">
        <v>43868</v>
      </c>
      <c r="B3494">
        <v>9773.98</v>
      </c>
      <c r="C3494" t="s">
        <v>3901</v>
      </c>
    </row>
    <row r="3495" spans="1:3" x14ac:dyDescent="0.3">
      <c r="A3495" s="426">
        <v>43869</v>
      </c>
      <c r="B3495">
        <v>9799.1299999999992</v>
      </c>
      <c r="C3495" t="s">
        <v>3902</v>
      </c>
    </row>
    <row r="3496" spans="1:3" x14ac:dyDescent="0.3">
      <c r="A3496" s="426">
        <v>43870</v>
      </c>
      <c r="B3496">
        <v>10076.040000000001</v>
      </c>
      <c r="C3496" t="s">
        <v>3903</v>
      </c>
    </row>
    <row r="3497" spans="1:3" x14ac:dyDescent="0.3">
      <c r="A3497" s="426">
        <v>43871</v>
      </c>
      <c r="B3497">
        <v>9848.1</v>
      </c>
      <c r="C3497" t="s">
        <v>3904</v>
      </c>
    </row>
    <row r="3498" spans="1:3" x14ac:dyDescent="0.3">
      <c r="A3498" s="426">
        <v>43872</v>
      </c>
      <c r="B3498">
        <v>9841.5400000000009</v>
      </c>
      <c r="C3498" t="s">
        <v>3905</v>
      </c>
    </row>
    <row r="3499" spans="1:3" x14ac:dyDescent="0.3">
      <c r="A3499" s="426">
        <v>43873</v>
      </c>
      <c r="B3499">
        <v>10315.85</v>
      </c>
      <c r="C3499" t="s">
        <v>3906</v>
      </c>
    </row>
    <row r="3500" spans="1:3" x14ac:dyDescent="0.3">
      <c r="A3500" s="426">
        <v>43874</v>
      </c>
      <c r="B3500">
        <v>10225.280000000001</v>
      </c>
      <c r="C3500" t="s">
        <v>3907</v>
      </c>
    </row>
    <row r="3501" spans="1:3" x14ac:dyDescent="0.3">
      <c r="A3501" s="426">
        <v>43875</v>
      </c>
      <c r="B3501">
        <v>10237.69</v>
      </c>
      <c r="C3501" t="s">
        <v>3908</v>
      </c>
    </row>
    <row r="3502" spans="1:3" x14ac:dyDescent="0.3">
      <c r="A3502" s="426">
        <v>43876</v>
      </c>
      <c r="B3502">
        <v>10227.950000000001</v>
      </c>
      <c r="C3502" t="s">
        <v>3909</v>
      </c>
    </row>
    <row r="3503" spans="1:3" x14ac:dyDescent="0.3">
      <c r="A3503" s="426">
        <v>43877</v>
      </c>
      <c r="B3503">
        <v>9928.57</v>
      </c>
      <c r="C3503" t="s">
        <v>3910</v>
      </c>
    </row>
    <row r="3504" spans="1:3" x14ac:dyDescent="0.3">
      <c r="A3504" s="426">
        <v>43878</v>
      </c>
      <c r="B3504">
        <v>9691.23</v>
      </c>
      <c r="C3504" t="s">
        <v>3911</v>
      </c>
    </row>
    <row r="3505" spans="1:3" x14ac:dyDescent="0.3">
      <c r="A3505" s="426">
        <v>43879</v>
      </c>
      <c r="B3505">
        <v>9789</v>
      </c>
      <c r="C3505" t="s">
        <v>3912</v>
      </c>
    </row>
    <row r="3506" spans="1:3" x14ac:dyDescent="0.3">
      <c r="A3506" s="426">
        <v>43880</v>
      </c>
      <c r="B3506">
        <v>10124.530000000001</v>
      </c>
      <c r="C3506" t="s">
        <v>3913</v>
      </c>
    </row>
    <row r="3507" spans="1:3" x14ac:dyDescent="0.3">
      <c r="A3507" s="426">
        <v>43881</v>
      </c>
      <c r="B3507">
        <v>9599.0300000000007</v>
      </c>
      <c r="C3507" t="s">
        <v>3914</v>
      </c>
    </row>
    <row r="3508" spans="1:3" x14ac:dyDescent="0.3">
      <c r="A3508" s="426">
        <v>43882</v>
      </c>
      <c r="B3508">
        <v>9678.43</v>
      </c>
      <c r="C3508" t="s">
        <v>3915</v>
      </c>
    </row>
    <row r="3509" spans="1:3" x14ac:dyDescent="0.3">
      <c r="A3509" s="426">
        <v>43883</v>
      </c>
      <c r="B3509">
        <v>9649.3700000000008</v>
      </c>
      <c r="C3509" t="s">
        <v>3916</v>
      </c>
    </row>
    <row r="3510" spans="1:3" x14ac:dyDescent="0.3">
      <c r="A3510" s="426">
        <v>43884</v>
      </c>
      <c r="B3510">
        <v>9864.61</v>
      </c>
      <c r="C3510" t="s">
        <v>3917</v>
      </c>
    </row>
    <row r="3511" spans="1:3" x14ac:dyDescent="0.3">
      <c r="A3511" s="426">
        <v>43885</v>
      </c>
      <c r="B3511">
        <v>9756.9</v>
      </c>
      <c r="C3511" t="s">
        <v>3918</v>
      </c>
    </row>
    <row r="3512" spans="1:3" x14ac:dyDescent="0.3">
      <c r="A3512" s="426">
        <v>43886</v>
      </c>
      <c r="B3512">
        <v>9561.3799999999992</v>
      </c>
      <c r="C3512" t="s">
        <v>3919</v>
      </c>
    </row>
    <row r="3513" spans="1:3" x14ac:dyDescent="0.3">
      <c r="A3513" s="426">
        <v>43887</v>
      </c>
      <c r="B3513">
        <v>9171.27</v>
      </c>
      <c r="C3513" t="s">
        <v>3920</v>
      </c>
    </row>
    <row r="3514" spans="1:3" x14ac:dyDescent="0.3">
      <c r="A3514" s="426">
        <v>43888</v>
      </c>
      <c r="B3514">
        <v>8801.59</v>
      </c>
      <c r="C3514" t="s">
        <v>3921</v>
      </c>
    </row>
    <row r="3515" spans="1:3" x14ac:dyDescent="0.3">
      <c r="A3515" s="426">
        <v>43889</v>
      </c>
      <c r="B3515">
        <v>8671.2099999999991</v>
      </c>
      <c r="C3515" t="s">
        <v>3922</v>
      </c>
    </row>
    <row r="3516" spans="1:3" x14ac:dyDescent="0.3">
      <c r="A3516" s="426">
        <v>43890</v>
      </c>
      <c r="B3516">
        <v>8686.9599999999991</v>
      </c>
      <c r="C3516" t="s">
        <v>3923</v>
      </c>
    </row>
    <row r="3517" spans="1:3" x14ac:dyDescent="0.3">
      <c r="A3517" s="426">
        <v>43891</v>
      </c>
      <c r="B3517">
        <v>8584.4500000000007</v>
      </c>
      <c r="C3517" t="s">
        <v>3924</v>
      </c>
    </row>
    <row r="3518" spans="1:3" x14ac:dyDescent="0.3">
      <c r="A3518" s="426">
        <v>43892</v>
      </c>
      <c r="B3518">
        <v>8756.83</v>
      </c>
      <c r="C3518" t="s">
        <v>3925</v>
      </c>
    </row>
    <row r="3519" spans="1:3" x14ac:dyDescent="0.3">
      <c r="A3519" s="426">
        <v>43893</v>
      </c>
      <c r="B3519">
        <v>8795.48</v>
      </c>
      <c r="C3519" t="s">
        <v>3926</v>
      </c>
    </row>
    <row r="3520" spans="1:3" x14ac:dyDescent="0.3">
      <c r="A3520" s="426">
        <v>43894</v>
      </c>
      <c r="B3520">
        <v>8765.67</v>
      </c>
      <c r="C3520" t="s">
        <v>3927</v>
      </c>
    </row>
    <row r="3521" spans="1:3" x14ac:dyDescent="0.3">
      <c r="A3521" s="426">
        <v>43895</v>
      </c>
      <c r="B3521">
        <v>9089.5</v>
      </c>
      <c r="C3521" t="s">
        <v>3928</v>
      </c>
    </row>
    <row r="3522" spans="1:3" x14ac:dyDescent="0.3">
      <c r="A3522" s="426">
        <v>43896</v>
      </c>
      <c r="B3522">
        <v>9107.0499999999993</v>
      </c>
      <c r="C3522" t="s">
        <v>3929</v>
      </c>
    </row>
    <row r="3523" spans="1:3" x14ac:dyDescent="0.3">
      <c r="A3523" s="426">
        <v>43897</v>
      </c>
      <c r="B3523">
        <v>9111.8799999999992</v>
      </c>
      <c r="C3523" t="s">
        <v>3930</v>
      </c>
    </row>
    <row r="3524" spans="1:3" x14ac:dyDescent="0.3">
      <c r="A3524" s="426">
        <v>43898</v>
      </c>
      <c r="B3524">
        <v>8742.44</v>
      </c>
      <c r="C3524" t="s">
        <v>3931</v>
      </c>
    </row>
    <row r="3525" spans="1:3" x14ac:dyDescent="0.3">
      <c r="A3525" s="426">
        <v>43899</v>
      </c>
      <c r="B3525">
        <v>7880.41</v>
      </c>
      <c r="C3525" t="s">
        <v>3932</v>
      </c>
    </row>
    <row r="3526" spans="1:3" x14ac:dyDescent="0.3">
      <c r="A3526" s="426">
        <v>43900</v>
      </c>
      <c r="B3526">
        <v>7939.3</v>
      </c>
      <c r="C3526" t="s">
        <v>3933</v>
      </c>
    </row>
    <row r="3527" spans="1:3" x14ac:dyDescent="0.3">
      <c r="A3527" s="426">
        <v>43901</v>
      </c>
      <c r="B3527">
        <v>7861.1</v>
      </c>
      <c r="C3527" t="s">
        <v>3934</v>
      </c>
    </row>
    <row r="3528" spans="1:3" x14ac:dyDescent="0.3">
      <c r="A3528" s="426">
        <v>43902</v>
      </c>
      <c r="B3528">
        <v>6155.97</v>
      </c>
      <c r="C3528" t="s">
        <v>3935</v>
      </c>
    </row>
    <row r="3529" spans="1:3" x14ac:dyDescent="0.3">
      <c r="A3529" s="426">
        <v>43903</v>
      </c>
      <c r="B3529">
        <v>5375.71</v>
      </c>
      <c r="C3529" t="s">
        <v>3936</v>
      </c>
    </row>
    <row r="3530" spans="1:3" x14ac:dyDescent="0.3">
      <c r="A3530" s="426">
        <v>43904</v>
      </c>
      <c r="B3530">
        <v>5425.74</v>
      </c>
      <c r="C3530" t="s">
        <v>3937</v>
      </c>
    </row>
    <row r="3531" spans="1:3" x14ac:dyDescent="0.3">
      <c r="A3531" s="426">
        <v>43905</v>
      </c>
      <c r="B3531">
        <v>5325.82</v>
      </c>
      <c r="C3531" t="s">
        <v>3938</v>
      </c>
    </row>
    <row r="3532" spans="1:3" x14ac:dyDescent="0.3">
      <c r="A3532" s="426">
        <v>43906</v>
      </c>
      <c r="B3532">
        <v>5005.68</v>
      </c>
      <c r="C3532" t="s">
        <v>3939</v>
      </c>
    </row>
    <row r="3533" spans="1:3" x14ac:dyDescent="0.3">
      <c r="A3533" s="426">
        <v>43907</v>
      </c>
      <c r="B3533">
        <v>5237.4399999999996</v>
      </c>
      <c r="C3533" t="s">
        <v>3940</v>
      </c>
    </row>
    <row r="3534" spans="1:3" x14ac:dyDescent="0.3">
      <c r="A3534" s="426">
        <v>43908</v>
      </c>
      <c r="B3534">
        <v>5224.1099999999997</v>
      </c>
      <c r="C3534" t="s">
        <v>3941</v>
      </c>
    </row>
    <row r="3535" spans="1:3" x14ac:dyDescent="0.3">
      <c r="A3535" s="426">
        <v>43909</v>
      </c>
      <c r="B3535">
        <v>5722.43</v>
      </c>
      <c r="C3535" t="s">
        <v>3942</v>
      </c>
    </row>
    <row r="3536" spans="1:3" x14ac:dyDescent="0.3">
      <c r="A3536" s="426">
        <v>43910</v>
      </c>
      <c r="B3536">
        <v>6270.57</v>
      </c>
      <c r="C3536" t="s">
        <v>3943</v>
      </c>
    </row>
    <row r="3537" spans="1:3" x14ac:dyDescent="0.3">
      <c r="A3537" s="426">
        <v>43911</v>
      </c>
      <c r="B3537">
        <v>6178.37</v>
      </c>
      <c r="C3537" t="s">
        <v>3944</v>
      </c>
    </row>
    <row r="3538" spans="1:3" x14ac:dyDescent="0.3">
      <c r="A3538" s="426">
        <v>43912</v>
      </c>
      <c r="B3538">
        <v>6160.38</v>
      </c>
      <c r="C3538" t="s">
        <v>3945</v>
      </c>
    </row>
    <row r="3539" spans="1:3" x14ac:dyDescent="0.3">
      <c r="A3539" s="426">
        <v>43913</v>
      </c>
      <c r="B3539">
        <v>6123.58</v>
      </c>
      <c r="C3539" t="s">
        <v>3946</v>
      </c>
    </row>
    <row r="3540" spans="1:3" x14ac:dyDescent="0.3">
      <c r="A3540" s="426">
        <v>43914</v>
      </c>
      <c r="B3540">
        <v>6636.5</v>
      </c>
      <c r="C3540" t="s">
        <v>3947</v>
      </c>
    </row>
    <row r="3541" spans="1:3" x14ac:dyDescent="0.3">
      <c r="A3541" s="426">
        <v>43915</v>
      </c>
      <c r="B3541">
        <v>6654.67</v>
      </c>
      <c r="C3541" t="s">
        <v>3948</v>
      </c>
    </row>
    <row r="3542" spans="1:3" x14ac:dyDescent="0.3">
      <c r="A3542" s="426">
        <v>43916</v>
      </c>
      <c r="B3542">
        <v>6659.48</v>
      </c>
      <c r="C3542" t="s">
        <v>3949</v>
      </c>
    </row>
    <row r="3543" spans="1:3" x14ac:dyDescent="0.3">
      <c r="A3543" s="426">
        <v>43917</v>
      </c>
      <c r="B3543">
        <v>6676.62</v>
      </c>
      <c r="C3543" t="s">
        <v>3950</v>
      </c>
    </row>
    <row r="3544" spans="1:3" x14ac:dyDescent="0.3">
      <c r="A3544" s="426">
        <v>43918</v>
      </c>
      <c r="B3544">
        <v>6242.19</v>
      </c>
      <c r="C3544" t="s">
        <v>3951</v>
      </c>
    </row>
    <row r="3545" spans="1:3" x14ac:dyDescent="0.3">
      <c r="A3545" s="426">
        <v>43919</v>
      </c>
      <c r="B3545">
        <v>6156.73</v>
      </c>
      <c r="C3545" t="s">
        <v>3952</v>
      </c>
    </row>
    <row r="3546" spans="1:3" x14ac:dyDescent="0.3">
      <c r="A3546" s="426">
        <v>43920</v>
      </c>
      <c r="B3546">
        <v>6317.07</v>
      </c>
      <c r="C3546" t="s">
        <v>3953</v>
      </c>
    </row>
    <row r="3547" spans="1:3" x14ac:dyDescent="0.3">
      <c r="A3547" s="426">
        <v>43921</v>
      </c>
      <c r="B3547">
        <v>6451.56</v>
      </c>
      <c r="C3547" t="s">
        <v>3954</v>
      </c>
    </row>
    <row r="3548" spans="1:3" x14ac:dyDescent="0.3">
      <c r="A3548" s="426">
        <v>43922</v>
      </c>
      <c r="B3548">
        <v>6330.09</v>
      </c>
      <c r="C3548" t="s">
        <v>3955</v>
      </c>
    </row>
    <row r="3549" spans="1:3" x14ac:dyDescent="0.3">
      <c r="A3549" s="426">
        <v>43923</v>
      </c>
      <c r="B3549">
        <v>6660.75</v>
      </c>
      <c r="C3549" t="s">
        <v>3956</v>
      </c>
    </row>
    <row r="3550" spans="1:3" x14ac:dyDescent="0.3">
      <c r="A3550" s="426">
        <v>43924</v>
      </c>
      <c r="B3550">
        <v>6795.01</v>
      </c>
      <c r="C3550" t="s">
        <v>3957</v>
      </c>
    </row>
    <row r="3551" spans="1:3" x14ac:dyDescent="0.3">
      <c r="A3551" s="426">
        <v>43925</v>
      </c>
      <c r="B3551">
        <v>6756.77</v>
      </c>
      <c r="C3551" t="s">
        <v>3958</v>
      </c>
    </row>
    <row r="3552" spans="1:3" x14ac:dyDescent="0.3">
      <c r="A3552" s="426">
        <v>43926</v>
      </c>
      <c r="B3552">
        <v>6792.35</v>
      </c>
      <c r="C3552" t="s">
        <v>3959</v>
      </c>
    </row>
    <row r="3553" spans="1:3" x14ac:dyDescent="0.3">
      <c r="A3553" s="426">
        <v>43927</v>
      </c>
      <c r="B3553">
        <v>7108.91</v>
      </c>
      <c r="C3553" t="s">
        <v>3960</v>
      </c>
    </row>
    <row r="3554" spans="1:3" x14ac:dyDescent="0.3">
      <c r="A3554" s="426">
        <v>43928</v>
      </c>
      <c r="B3554">
        <v>7320.19</v>
      </c>
      <c r="C3554" t="s">
        <v>3961</v>
      </c>
    </row>
    <row r="3555" spans="1:3" x14ac:dyDescent="0.3">
      <c r="A3555" s="426">
        <v>43929</v>
      </c>
      <c r="B3555">
        <v>7291.17</v>
      </c>
      <c r="C3555" t="s">
        <v>3962</v>
      </c>
    </row>
    <row r="3556" spans="1:3" x14ac:dyDescent="0.3">
      <c r="A3556" s="426">
        <v>43930</v>
      </c>
      <c r="B3556">
        <v>7297.39</v>
      </c>
      <c r="C3556" t="s">
        <v>3963</v>
      </c>
    </row>
    <row r="3557" spans="1:3" x14ac:dyDescent="0.3">
      <c r="A3557" s="426">
        <v>43931</v>
      </c>
      <c r="B3557">
        <v>6923.64</v>
      </c>
      <c r="C3557" t="s">
        <v>3964</v>
      </c>
    </row>
    <row r="3558" spans="1:3" x14ac:dyDescent="0.3">
      <c r="A3558" s="426">
        <v>43932</v>
      </c>
      <c r="B3558">
        <v>6858.07</v>
      </c>
      <c r="C3558" t="s">
        <v>3965</v>
      </c>
    </row>
    <row r="3559" spans="1:3" x14ac:dyDescent="0.3">
      <c r="A3559" s="426">
        <v>43933</v>
      </c>
      <c r="B3559">
        <v>6893.94</v>
      </c>
      <c r="C3559" t="s">
        <v>3966</v>
      </c>
    </row>
    <row r="3560" spans="1:3" x14ac:dyDescent="0.3">
      <c r="A3560" s="426">
        <v>43934</v>
      </c>
      <c r="B3560">
        <v>6727.93</v>
      </c>
      <c r="C3560" t="s">
        <v>3967</v>
      </c>
    </row>
    <row r="3561" spans="1:3" x14ac:dyDescent="0.3">
      <c r="A3561" s="426">
        <v>43935</v>
      </c>
      <c r="B3561">
        <v>6874.99</v>
      </c>
      <c r="C3561" t="s">
        <v>3968</v>
      </c>
    </row>
    <row r="3562" spans="1:3" x14ac:dyDescent="0.3">
      <c r="A3562" s="426">
        <v>43936</v>
      </c>
      <c r="B3562">
        <v>6787.58</v>
      </c>
      <c r="C3562" t="s">
        <v>3969</v>
      </c>
    </row>
    <row r="3563" spans="1:3" x14ac:dyDescent="0.3">
      <c r="A3563" s="426">
        <v>43937</v>
      </c>
      <c r="B3563">
        <v>7019.86</v>
      </c>
      <c r="C3563" t="s">
        <v>3970</v>
      </c>
    </row>
    <row r="3564" spans="1:3" x14ac:dyDescent="0.3">
      <c r="A3564" s="426">
        <v>43938</v>
      </c>
      <c r="B3564">
        <v>7095.8</v>
      </c>
      <c r="C3564" t="s">
        <v>3971</v>
      </c>
    </row>
    <row r="3565" spans="1:3" x14ac:dyDescent="0.3">
      <c r="A3565" s="426">
        <v>43939</v>
      </c>
      <c r="B3565">
        <v>7153.3</v>
      </c>
      <c r="C3565" t="s">
        <v>3972</v>
      </c>
    </row>
    <row r="3566" spans="1:3" x14ac:dyDescent="0.3">
      <c r="A3566" s="426">
        <v>43940</v>
      </c>
      <c r="B3566">
        <v>7220.7</v>
      </c>
      <c r="C3566" t="s">
        <v>3973</v>
      </c>
    </row>
    <row r="3567" spans="1:3" x14ac:dyDescent="0.3">
      <c r="A3567" s="426">
        <v>43941</v>
      </c>
      <c r="B3567">
        <v>7097.81</v>
      </c>
      <c r="C3567" t="s">
        <v>3974</v>
      </c>
    </row>
    <row r="3568" spans="1:3" x14ac:dyDescent="0.3">
      <c r="A3568" s="426">
        <v>43942</v>
      </c>
      <c r="B3568">
        <v>6893.5</v>
      </c>
      <c r="C3568" t="s">
        <v>3975</v>
      </c>
    </row>
    <row r="3569" spans="1:3" x14ac:dyDescent="0.3">
      <c r="A3569" s="426">
        <v>43943</v>
      </c>
      <c r="B3569">
        <v>6990.18</v>
      </c>
      <c r="C3569" t="s">
        <v>3976</v>
      </c>
    </row>
    <row r="3570" spans="1:3" x14ac:dyDescent="0.3">
      <c r="A3570" s="426">
        <v>43944</v>
      </c>
      <c r="B3570">
        <v>7161.35</v>
      </c>
      <c r="C3570" t="s">
        <v>3977</v>
      </c>
    </row>
    <row r="3571" spans="1:3" x14ac:dyDescent="0.3">
      <c r="A3571" s="426">
        <v>43945</v>
      </c>
      <c r="B3571">
        <v>7547.6</v>
      </c>
      <c r="C3571" t="s">
        <v>3978</v>
      </c>
    </row>
    <row r="3572" spans="1:3" x14ac:dyDescent="0.3">
      <c r="A3572" s="426">
        <v>43946</v>
      </c>
      <c r="B3572">
        <v>7572.36</v>
      </c>
      <c r="C3572" t="s">
        <v>3979</v>
      </c>
    </row>
    <row r="3573" spans="1:3" x14ac:dyDescent="0.3">
      <c r="A3573" s="426">
        <v>43947</v>
      </c>
      <c r="B3573">
        <v>7610.91</v>
      </c>
      <c r="C3573" t="s">
        <v>3980</v>
      </c>
    </row>
    <row r="3574" spans="1:3" x14ac:dyDescent="0.3">
      <c r="A3574" s="426">
        <v>43948</v>
      </c>
      <c r="B3574">
        <v>7732.11</v>
      </c>
      <c r="C3574" t="s">
        <v>3981</v>
      </c>
    </row>
    <row r="3575" spans="1:3" x14ac:dyDescent="0.3">
      <c r="A3575" s="426">
        <v>43949</v>
      </c>
      <c r="B3575">
        <v>7771.48</v>
      </c>
      <c r="C3575" t="s">
        <v>3982</v>
      </c>
    </row>
    <row r="3576" spans="1:3" x14ac:dyDescent="0.3">
      <c r="A3576" s="426">
        <v>43950</v>
      </c>
      <c r="B3576">
        <v>8122.47</v>
      </c>
      <c r="C3576" t="s">
        <v>3983</v>
      </c>
    </row>
    <row r="3577" spans="1:3" x14ac:dyDescent="0.3">
      <c r="A3577" s="426">
        <v>43951</v>
      </c>
      <c r="B3577">
        <v>8863.7099999999991</v>
      </c>
      <c r="C3577" t="s">
        <v>3984</v>
      </c>
    </row>
    <row r="3578" spans="1:3" x14ac:dyDescent="0.3">
      <c r="A3578" s="426">
        <v>43952</v>
      </c>
      <c r="B3578">
        <v>8801.02</v>
      </c>
      <c r="C3578" t="s">
        <v>3985</v>
      </c>
    </row>
    <row r="3579" spans="1:3" x14ac:dyDescent="0.3">
      <c r="A3579" s="426">
        <v>43953</v>
      </c>
      <c r="B3579">
        <v>8901.16</v>
      </c>
      <c r="C3579" t="s">
        <v>3986</v>
      </c>
    </row>
    <row r="3580" spans="1:3" x14ac:dyDescent="0.3">
      <c r="A3580" s="426">
        <v>43954</v>
      </c>
      <c r="B3580">
        <v>9003.73</v>
      </c>
      <c r="C3580" t="s">
        <v>3987</v>
      </c>
    </row>
    <row r="3581" spans="1:3" x14ac:dyDescent="0.3">
      <c r="A3581" s="426">
        <v>43955</v>
      </c>
      <c r="B3581">
        <v>8769.18</v>
      </c>
      <c r="C3581" t="s">
        <v>3988</v>
      </c>
    </row>
    <row r="3582" spans="1:3" x14ac:dyDescent="0.3">
      <c r="A3582" s="426">
        <v>43956</v>
      </c>
      <c r="B3582">
        <v>8919.56</v>
      </c>
      <c r="C3582" t="s">
        <v>3989</v>
      </c>
    </row>
    <row r="3583" spans="1:3" x14ac:dyDescent="0.3">
      <c r="A3583" s="426">
        <v>43957</v>
      </c>
      <c r="B3583">
        <v>9234.49</v>
      </c>
      <c r="C3583" t="s">
        <v>3990</v>
      </c>
    </row>
    <row r="3584" spans="1:3" x14ac:dyDescent="0.3">
      <c r="A3584" s="426">
        <v>43958</v>
      </c>
      <c r="B3584">
        <v>9304.64</v>
      </c>
      <c r="C3584" t="s">
        <v>3991</v>
      </c>
    </row>
    <row r="3585" spans="1:3" x14ac:dyDescent="0.3">
      <c r="A3585" s="426">
        <v>43959</v>
      </c>
      <c r="B3585">
        <v>9923.14</v>
      </c>
      <c r="C3585" t="s">
        <v>3992</v>
      </c>
    </row>
    <row r="3586" spans="1:3" x14ac:dyDescent="0.3">
      <c r="A3586" s="426">
        <v>43960</v>
      </c>
      <c r="B3586">
        <v>9718.6299999999992</v>
      </c>
      <c r="C3586" t="s">
        <v>3993</v>
      </c>
    </row>
    <row r="3587" spans="1:3" x14ac:dyDescent="0.3">
      <c r="A3587" s="426">
        <v>43961</v>
      </c>
      <c r="B3587">
        <v>8710.39</v>
      </c>
      <c r="C3587" t="s">
        <v>3994</v>
      </c>
    </row>
    <row r="3588" spans="1:3" x14ac:dyDescent="0.3">
      <c r="A3588" s="426">
        <v>43962</v>
      </c>
      <c r="B3588">
        <v>8698.42</v>
      </c>
      <c r="C3588" t="s">
        <v>3995</v>
      </c>
    </row>
    <row r="3589" spans="1:3" x14ac:dyDescent="0.3">
      <c r="A3589" s="426">
        <v>43963</v>
      </c>
      <c r="B3589">
        <v>8777.16</v>
      </c>
      <c r="C3589" t="s">
        <v>3996</v>
      </c>
    </row>
    <row r="3590" spans="1:3" x14ac:dyDescent="0.3">
      <c r="A3590" s="426">
        <v>43964</v>
      </c>
      <c r="B3590">
        <v>8958.14</v>
      </c>
      <c r="C3590" t="s">
        <v>3997</v>
      </c>
    </row>
    <row r="3591" spans="1:3" x14ac:dyDescent="0.3">
      <c r="A3591" s="426">
        <v>43965</v>
      </c>
      <c r="B3591">
        <v>9628.44</v>
      </c>
      <c r="C3591" t="s">
        <v>3998</v>
      </c>
    </row>
    <row r="3592" spans="1:3" x14ac:dyDescent="0.3">
      <c r="A3592" s="426">
        <v>43966</v>
      </c>
      <c r="B3592">
        <v>9515.8700000000008</v>
      </c>
      <c r="C3592" t="s">
        <v>3999</v>
      </c>
    </row>
    <row r="3593" spans="1:3" x14ac:dyDescent="0.3">
      <c r="A3593" s="426">
        <v>43967</v>
      </c>
      <c r="B3593">
        <v>9408.31</v>
      </c>
      <c r="C3593" t="s">
        <v>4000</v>
      </c>
    </row>
    <row r="3594" spans="1:3" x14ac:dyDescent="0.3">
      <c r="A3594" s="426">
        <v>43968</v>
      </c>
      <c r="B3594">
        <v>9557.0300000000007</v>
      </c>
      <c r="C3594" t="s">
        <v>4001</v>
      </c>
    </row>
    <row r="3595" spans="1:3" x14ac:dyDescent="0.3">
      <c r="A3595" s="426">
        <v>43969</v>
      </c>
      <c r="B3595">
        <v>9710.58</v>
      </c>
      <c r="C3595" t="s">
        <v>4002</v>
      </c>
    </row>
    <row r="3596" spans="1:3" x14ac:dyDescent="0.3">
      <c r="A3596" s="426">
        <v>43970</v>
      </c>
      <c r="B3596">
        <v>9682.81</v>
      </c>
      <c r="C3596" t="s">
        <v>4003</v>
      </c>
    </row>
    <row r="3597" spans="1:3" x14ac:dyDescent="0.3">
      <c r="A3597" s="426">
        <v>43971</v>
      </c>
      <c r="B3597">
        <v>9739.7099999999991</v>
      </c>
      <c r="C3597" t="s">
        <v>4004</v>
      </c>
    </row>
    <row r="3598" spans="1:3" x14ac:dyDescent="0.3">
      <c r="A3598" s="426">
        <v>43972</v>
      </c>
      <c r="B3598">
        <v>9343.3700000000008</v>
      </c>
      <c r="C3598" t="s">
        <v>4005</v>
      </c>
    </row>
    <row r="3599" spans="1:3" x14ac:dyDescent="0.3">
      <c r="A3599" s="426">
        <v>43973</v>
      </c>
      <c r="B3599">
        <v>9169.2999999999993</v>
      </c>
      <c r="C3599" t="s">
        <v>4006</v>
      </c>
    </row>
    <row r="3600" spans="1:3" x14ac:dyDescent="0.3">
      <c r="A3600" s="426">
        <v>43974</v>
      </c>
      <c r="B3600">
        <v>9205.68</v>
      </c>
      <c r="C3600" t="s">
        <v>4007</v>
      </c>
    </row>
    <row r="3601" spans="1:3" x14ac:dyDescent="0.3">
      <c r="A3601" s="426">
        <v>43975</v>
      </c>
      <c r="B3601">
        <v>9169.89</v>
      </c>
      <c r="C3601" t="s">
        <v>4008</v>
      </c>
    </row>
    <row r="3602" spans="1:3" x14ac:dyDescent="0.3">
      <c r="A3602" s="426">
        <v>43976</v>
      </c>
      <c r="B3602">
        <v>8807.36</v>
      </c>
      <c r="C3602" t="s">
        <v>4009</v>
      </c>
    </row>
    <row r="3603" spans="1:3" x14ac:dyDescent="0.3">
      <c r="A3603" s="426">
        <v>43977</v>
      </c>
      <c r="B3603">
        <v>8867.1299999999992</v>
      </c>
      <c r="C3603" t="s">
        <v>4010</v>
      </c>
    </row>
    <row r="3604" spans="1:3" x14ac:dyDescent="0.3">
      <c r="A3604" s="426">
        <v>43978</v>
      </c>
      <c r="B3604">
        <v>9118.7900000000009</v>
      </c>
      <c r="C3604" t="s">
        <v>4011</v>
      </c>
    </row>
    <row r="3605" spans="1:3" x14ac:dyDescent="0.3">
      <c r="A3605" s="426">
        <v>43979</v>
      </c>
      <c r="B3605">
        <v>9327.7099999999991</v>
      </c>
      <c r="C3605" t="s">
        <v>4012</v>
      </c>
    </row>
    <row r="3606" spans="1:3" x14ac:dyDescent="0.3">
      <c r="A3606" s="426">
        <v>43980</v>
      </c>
      <c r="B3606">
        <v>9438.91</v>
      </c>
      <c r="C3606" t="s">
        <v>4013</v>
      </c>
    </row>
    <row r="3607" spans="1:3" x14ac:dyDescent="0.3">
      <c r="A3607" s="426">
        <v>43981</v>
      </c>
      <c r="B3607">
        <v>9544.5300000000007</v>
      </c>
      <c r="C3607" t="s">
        <v>4014</v>
      </c>
    </row>
    <row r="3608" spans="1:3" x14ac:dyDescent="0.3">
      <c r="A3608" s="426">
        <v>43982</v>
      </c>
      <c r="B3608">
        <v>9559.99</v>
      </c>
      <c r="C3608" t="s">
        <v>4015</v>
      </c>
    </row>
    <row r="3609" spans="1:3" x14ac:dyDescent="0.3">
      <c r="A3609" s="426">
        <v>43983</v>
      </c>
      <c r="B3609">
        <v>9559.19</v>
      </c>
      <c r="C3609" t="s">
        <v>4016</v>
      </c>
    </row>
    <row r="3610" spans="1:3" x14ac:dyDescent="0.3">
      <c r="A3610" s="426">
        <v>43984</v>
      </c>
      <c r="B3610">
        <v>10107.27</v>
      </c>
      <c r="C3610" t="s">
        <v>4017</v>
      </c>
    </row>
    <row r="3611" spans="1:3" x14ac:dyDescent="0.3">
      <c r="A3611" s="426">
        <v>43985</v>
      </c>
      <c r="B3611">
        <v>9581.2000000000007</v>
      </c>
      <c r="C3611" t="s">
        <v>4018</v>
      </c>
    </row>
    <row r="3612" spans="1:3" x14ac:dyDescent="0.3">
      <c r="A3612" s="426">
        <v>43986</v>
      </c>
      <c r="B3612">
        <v>9681.59</v>
      </c>
      <c r="C3612" t="s">
        <v>4019</v>
      </c>
    </row>
    <row r="3613" spans="1:3" x14ac:dyDescent="0.3">
      <c r="A3613" s="426">
        <v>43987</v>
      </c>
      <c r="B3613">
        <v>9746.5300000000007</v>
      </c>
      <c r="C3613" t="s">
        <v>4020</v>
      </c>
    </row>
    <row r="3614" spans="1:3" x14ac:dyDescent="0.3">
      <c r="A3614" s="426">
        <v>43988</v>
      </c>
      <c r="B3614">
        <v>9641.08</v>
      </c>
      <c r="C3614" t="s">
        <v>4021</v>
      </c>
    </row>
    <row r="3615" spans="1:3" x14ac:dyDescent="0.3">
      <c r="A3615" s="426">
        <v>43989</v>
      </c>
      <c r="B3615">
        <v>9668.07</v>
      </c>
      <c r="C3615" t="s">
        <v>4022</v>
      </c>
    </row>
    <row r="3616" spans="1:3" x14ac:dyDescent="0.3">
      <c r="A3616" s="426">
        <v>43990</v>
      </c>
      <c r="B3616">
        <v>9734.77</v>
      </c>
      <c r="C3616" t="s">
        <v>4023</v>
      </c>
    </row>
    <row r="3617" spans="1:3" x14ac:dyDescent="0.3">
      <c r="A3617" s="426">
        <v>43991</v>
      </c>
      <c r="B3617">
        <v>9717.26</v>
      </c>
      <c r="C3617" t="s">
        <v>4024</v>
      </c>
    </row>
    <row r="3618" spans="1:3" x14ac:dyDescent="0.3">
      <c r="A3618" s="426">
        <v>43992</v>
      </c>
      <c r="B3618">
        <v>9773.99</v>
      </c>
      <c r="C3618" t="s">
        <v>4025</v>
      </c>
    </row>
    <row r="3619" spans="1:3" x14ac:dyDescent="0.3">
      <c r="A3619" s="426">
        <v>43993</v>
      </c>
      <c r="B3619">
        <v>9799.09</v>
      </c>
      <c r="C3619" t="s">
        <v>4026</v>
      </c>
    </row>
    <row r="3620" spans="1:3" x14ac:dyDescent="0.3">
      <c r="A3620" s="426">
        <v>43994</v>
      </c>
      <c r="B3620">
        <v>9442.6</v>
      </c>
      <c r="C3620" t="s">
        <v>4027</v>
      </c>
    </row>
    <row r="3621" spans="1:3" x14ac:dyDescent="0.3">
      <c r="A3621" s="426">
        <v>43995</v>
      </c>
      <c r="B3621">
        <v>9451.4699999999993</v>
      </c>
      <c r="C3621" t="s">
        <v>4028</v>
      </c>
    </row>
    <row r="3622" spans="1:3" x14ac:dyDescent="0.3">
      <c r="A3622" s="426">
        <v>43996</v>
      </c>
      <c r="B3622">
        <v>9429.0499999999993</v>
      </c>
      <c r="C3622" t="s">
        <v>4029</v>
      </c>
    </row>
    <row r="3623" spans="1:3" x14ac:dyDescent="0.3">
      <c r="A3623" s="426">
        <v>43997</v>
      </c>
      <c r="B3623">
        <v>9364.66</v>
      </c>
      <c r="C3623" t="s">
        <v>4030</v>
      </c>
    </row>
    <row r="3624" spans="1:3" x14ac:dyDescent="0.3">
      <c r="A3624" s="426">
        <v>43998</v>
      </c>
      <c r="B3624">
        <v>9505.8700000000008</v>
      </c>
      <c r="C3624" t="s">
        <v>4031</v>
      </c>
    </row>
    <row r="3625" spans="1:3" x14ac:dyDescent="0.3">
      <c r="A3625" s="426">
        <v>43999</v>
      </c>
      <c r="B3625">
        <v>9474.09</v>
      </c>
      <c r="C3625" t="s">
        <v>4032</v>
      </c>
    </row>
    <row r="3626" spans="1:3" x14ac:dyDescent="0.3">
      <c r="A3626" s="426">
        <v>44000</v>
      </c>
      <c r="B3626">
        <v>9428.5400000000009</v>
      </c>
      <c r="C3626" t="s">
        <v>4033</v>
      </c>
    </row>
    <row r="3627" spans="1:3" x14ac:dyDescent="0.3">
      <c r="A3627" s="426">
        <v>44001</v>
      </c>
      <c r="B3627">
        <v>9344.57</v>
      </c>
      <c r="C3627" t="s">
        <v>4034</v>
      </c>
    </row>
    <row r="3628" spans="1:3" x14ac:dyDescent="0.3">
      <c r="A3628" s="426">
        <v>44002</v>
      </c>
      <c r="B3628">
        <v>9300.67</v>
      </c>
      <c r="C3628" t="s">
        <v>4035</v>
      </c>
    </row>
    <row r="3629" spans="1:3" x14ac:dyDescent="0.3">
      <c r="A3629" s="426">
        <v>44003</v>
      </c>
      <c r="B3629">
        <v>9359.84</v>
      </c>
      <c r="C3629" t="s">
        <v>4036</v>
      </c>
    </row>
    <row r="3630" spans="1:3" x14ac:dyDescent="0.3">
      <c r="A3630" s="426">
        <v>44004</v>
      </c>
      <c r="B3630">
        <v>9447.92</v>
      </c>
      <c r="C3630" t="s">
        <v>4037</v>
      </c>
    </row>
    <row r="3631" spans="1:3" x14ac:dyDescent="0.3">
      <c r="A3631" s="426">
        <v>44005</v>
      </c>
      <c r="B3631">
        <v>9623.0300000000007</v>
      </c>
      <c r="C3631" t="s">
        <v>4038</v>
      </c>
    </row>
    <row r="3632" spans="1:3" x14ac:dyDescent="0.3">
      <c r="A3632" s="426">
        <v>44006</v>
      </c>
      <c r="B3632">
        <v>9415.06</v>
      </c>
      <c r="C3632" t="s">
        <v>4039</v>
      </c>
    </row>
    <row r="3633" spans="1:3" x14ac:dyDescent="0.3">
      <c r="A3633" s="426">
        <v>44007</v>
      </c>
      <c r="B3633">
        <v>9265.26</v>
      </c>
      <c r="C3633" t="s">
        <v>4040</v>
      </c>
    </row>
    <row r="3634" spans="1:3" x14ac:dyDescent="0.3">
      <c r="A3634" s="426">
        <v>44008</v>
      </c>
      <c r="B3634">
        <v>9195.98</v>
      </c>
      <c r="C3634" t="s">
        <v>4041</v>
      </c>
    </row>
    <row r="3635" spans="1:3" x14ac:dyDescent="0.3">
      <c r="A3635" s="426">
        <v>44009</v>
      </c>
      <c r="B3635">
        <v>9155.7800000000007</v>
      </c>
      <c r="C3635" t="s">
        <v>4042</v>
      </c>
    </row>
    <row r="3636" spans="1:3" x14ac:dyDescent="0.3">
      <c r="A3636" s="426">
        <v>44010</v>
      </c>
      <c r="B3636">
        <v>9072.5</v>
      </c>
      <c r="C3636" t="s">
        <v>4043</v>
      </c>
    </row>
    <row r="3637" spans="1:3" x14ac:dyDescent="0.3">
      <c r="A3637" s="426">
        <v>44011</v>
      </c>
      <c r="B3637">
        <v>9122.2999999999993</v>
      </c>
      <c r="C3637" t="s">
        <v>4044</v>
      </c>
    </row>
    <row r="3638" spans="1:3" x14ac:dyDescent="0.3">
      <c r="A3638" s="426">
        <v>44012</v>
      </c>
      <c r="B3638">
        <v>9146.99</v>
      </c>
      <c r="C3638" t="s">
        <v>4045</v>
      </c>
    </row>
    <row r="3639" spans="1:3" x14ac:dyDescent="0.3">
      <c r="A3639" s="426">
        <v>44013</v>
      </c>
      <c r="B3639">
        <v>9169.5499999999993</v>
      </c>
      <c r="C3639" t="s">
        <v>4046</v>
      </c>
    </row>
    <row r="3640" spans="1:3" x14ac:dyDescent="0.3">
      <c r="A3640" s="426">
        <v>44014</v>
      </c>
      <c r="B3640">
        <v>9215.76</v>
      </c>
      <c r="C3640" t="s">
        <v>4047</v>
      </c>
    </row>
    <row r="3641" spans="1:3" x14ac:dyDescent="0.3">
      <c r="A3641" s="426">
        <v>44015</v>
      </c>
      <c r="B3641">
        <v>9102.0499999999993</v>
      </c>
      <c r="C3641" t="s">
        <v>4048</v>
      </c>
    </row>
    <row r="3642" spans="1:3" x14ac:dyDescent="0.3">
      <c r="A3642" s="426">
        <v>44016</v>
      </c>
      <c r="B3642">
        <v>9077.91</v>
      </c>
      <c r="C3642" t="s">
        <v>4049</v>
      </c>
    </row>
    <row r="3643" spans="1:3" x14ac:dyDescent="0.3">
      <c r="A3643" s="426">
        <v>44017</v>
      </c>
      <c r="B3643">
        <v>9055.7199999999993</v>
      </c>
      <c r="C3643" t="s">
        <v>4050</v>
      </c>
    </row>
    <row r="3644" spans="1:3" x14ac:dyDescent="0.3">
      <c r="A3644" s="426">
        <v>44018</v>
      </c>
      <c r="B3644">
        <v>9202.73</v>
      </c>
      <c r="C3644" t="s">
        <v>4051</v>
      </c>
    </row>
    <row r="3645" spans="1:3" x14ac:dyDescent="0.3">
      <c r="A3645" s="426">
        <v>44019</v>
      </c>
      <c r="B3645">
        <v>9269.76</v>
      </c>
      <c r="C3645" t="s">
        <v>4052</v>
      </c>
    </row>
    <row r="3646" spans="1:3" x14ac:dyDescent="0.3">
      <c r="A3646" s="426">
        <v>44020</v>
      </c>
      <c r="B3646">
        <v>9299.02</v>
      </c>
      <c r="C3646" t="s">
        <v>4053</v>
      </c>
    </row>
    <row r="3647" spans="1:3" x14ac:dyDescent="0.3">
      <c r="A3647" s="426">
        <v>44021</v>
      </c>
      <c r="B3647">
        <v>9377.61</v>
      </c>
      <c r="C3647" t="s">
        <v>4054</v>
      </c>
    </row>
    <row r="3648" spans="1:3" x14ac:dyDescent="0.3">
      <c r="A3648" s="426">
        <v>44022</v>
      </c>
      <c r="B3648">
        <v>9213.39</v>
      </c>
      <c r="C3648" t="s">
        <v>4055</v>
      </c>
    </row>
    <row r="3649" spans="1:3" x14ac:dyDescent="0.3">
      <c r="A3649" s="426">
        <v>44023</v>
      </c>
      <c r="B3649">
        <v>9229.86</v>
      </c>
      <c r="C3649" t="s">
        <v>4056</v>
      </c>
    </row>
    <row r="3650" spans="1:3" x14ac:dyDescent="0.3">
      <c r="A3650" s="426">
        <v>44024</v>
      </c>
      <c r="B3650">
        <v>9263.8799999999992</v>
      </c>
      <c r="C3650" t="s">
        <v>4057</v>
      </c>
    </row>
    <row r="3651" spans="1:3" x14ac:dyDescent="0.3">
      <c r="A3651" s="426">
        <v>44025</v>
      </c>
      <c r="B3651">
        <v>9261.92</v>
      </c>
      <c r="C3651" t="s">
        <v>4058</v>
      </c>
    </row>
    <row r="3652" spans="1:3" x14ac:dyDescent="0.3">
      <c r="A3652" s="426">
        <v>44026</v>
      </c>
      <c r="B3652">
        <v>9218.85</v>
      </c>
      <c r="C3652" t="s">
        <v>4059</v>
      </c>
    </row>
    <row r="3653" spans="1:3" x14ac:dyDescent="0.3">
      <c r="A3653" s="426">
        <v>44027</v>
      </c>
      <c r="B3653">
        <v>9215.36</v>
      </c>
      <c r="C3653" t="s">
        <v>4060</v>
      </c>
    </row>
    <row r="3654" spans="1:3" x14ac:dyDescent="0.3">
      <c r="A3654" s="426">
        <v>44028</v>
      </c>
      <c r="B3654">
        <v>9132.98</v>
      </c>
      <c r="C3654" t="s">
        <v>4061</v>
      </c>
    </row>
    <row r="3655" spans="1:3" x14ac:dyDescent="0.3">
      <c r="A3655" s="426">
        <v>44029</v>
      </c>
      <c r="B3655">
        <v>9129.64</v>
      </c>
      <c r="C3655" t="s">
        <v>4062</v>
      </c>
    </row>
    <row r="3656" spans="1:3" x14ac:dyDescent="0.3">
      <c r="A3656" s="426">
        <v>44030</v>
      </c>
      <c r="B3656">
        <v>9157.2199999999993</v>
      </c>
      <c r="C3656" t="s">
        <v>4063</v>
      </c>
    </row>
    <row r="3657" spans="1:3" x14ac:dyDescent="0.3">
      <c r="A3657" s="426">
        <v>44031</v>
      </c>
      <c r="B3657">
        <v>9142.23</v>
      </c>
      <c r="C3657" t="s">
        <v>4064</v>
      </c>
    </row>
    <row r="3658" spans="1:3" x14ac:dyDescent="0.3">
      <c r="A3658" s="426">
        <v>44032</v>
      </c>
      <c r="B3658">
        <v>9165.1</v>
      </c>
      <c r="C3658" t="s">
        <v>4065</v>
      </c>
    </row>
    <row r="3659" spans="1:3" x14ac:dyDescent="0.3">
      <c r="A3659" s="426">
        <v>44033</v>
      </c>
      <c r="B3659">
        <v>9346.18</v>
      </c>
      <c r="C3659" t="s">
        <v>4066</v>
      </c>
    </row>
    <row r="3660" spans="1:3" x14ac:dyDescent="0.3">
      <c r="A3660" s="426">
        <v>44034</v>
      </c>
      <c r="B3660">
        <v>9354.42</v>
      </c>
      <c r="C3660" t="s">
        <v>4067</v>
      </c>
    </row>
    <row r="3661" spans="1:3" x14ac:dyDescent="0.3">
      <c r="A3661" s="426">
        <v>44035</v>
      </c>
      <c r="B3661">
        <v>9514.61</v>
      </c>
      <c r="C3661" t="s">
        <v>4068</v>
      </c>
    </row>
    <row r="3662" spans="1:3" x14ac:dyDescent="0.3">
      <c r="A3662" s="426">
        <v>44036</v>
      </c>
      <c r="B3662">
        <v>9539.25</v>
      </c>
      <c r="C3662" t="s">
        <v>4069</v>
      </c>
    </row>
    <row r="3663" spans="1:3" x14ac:dyDescent="0.3">
      <c r="A3663" s="426">
        <v>44037</v>
      </c>
      <c r="B3663">
        <v>9582.24</v>
      </c>
      <c r="C3663" t="s">
        <v>4070</v>
      </c>
    </row>
    <row r="3664" spans="1:3" x14ac:dyDescent="0.3">
      <c r="A3664" s="426">
        <v>44038</v>
      </c>
      <c r="B3664">
        <v>9874.24</v>
      </c>
      <c r="C3664" t="s">
        <v>4071</v>
      </c>
    </row>
    <row r="3665" spans="1:3" x14ac:dyDescent="0.3">
      <c r="A3665" s="426">
        <v>44039</v>
      </c>
      <c r="B3665">
        <v>10264.790000000001</v>
      </c>
      <c r="C3665" t="s">
        <v>4072</v>
      </c>
    </row>
    <row r="3666" spans="1:3" x14ac:dyDescent="0.3">
      <c r="A3666" s="426">
        <v>44040</v>
      </c>
      <c r="B3666">
        <v>10962.67</v>
      </c>
      <c r="C3666" t="s">
        <v>4073</v>
      </c>
    </row>
    <row r="3667" spans="1:3" x14ac:dyDescent="0.3">
      <c r="A3667" s="426">
        <v>44041</v>
      </c>
      <c r="B3667">
        <v>11082.35</v>
      </c>
      <c r="C3667" t="s">
        <v>4074</v>
      </c>
    </row>
    <row r="3668" spans="1:3" x14ac:dyDescent="0.3">
      <c r="A3668" s="426">
        <v>44042</v>
      </c>
      <c r="B3668">
        <v>11006.1</v>
      </c>
      <c r="C3668" t="s">
        <v>4075</v>
      </c>
    </row>
    <row r="3669" spans="1:3" x14ac:dyDescent="0.3">
      <c r="A3669" s="426">
        <v>44043</v>
      </c>
      <c r="B3669">
        <v>11172.56</v>
      </c>
      <c r="C3669" t="s">
        <v>4076</v>
      </c>
    </row>
    <row r="3670" spans="1:3" x14ac:dyDescent="0.3">
      <c r="A3670" s="426">
        <v>44044</v>
      </c>
      <c r="B3670">
        <v>11627</v>
      </c>
      <c r="C3670" t="s">
        <v>4077</v>
      </c>
    </row>
    <row r="3671" spans="1:3" x14ac:dyDescent="0.3">
      <c r="A3671" s="426">
        <v>44045</v>
      </c>
      <c r="B3671">
        <v>11218.31</v>
      </c>
      <c r="C3671" t="s">
        <v>4078</v>
      </c>
    </row>
    <row r="3672" spans="1:3" x14ac:dyDescent="0.3">
      <c r="A3672" s="426">
        <v>44046</v>
      </c>
      <c r="B3672">
        <v>11187.75</v>
      </c>
      <c r="C3672" t="s">
        <v>4079</v>
      </c>
    </row>
    <row r="3673" spans="1:3" x14ac:dyDescent="0.3">
      <c r="A3673" s="426">
        <v>44047</v>
      </c>
      <c r="B3673">
        <v>11262.16</v>
      </c>
      <c r="C3673" t="s">
        <v>4080</v>
      </c>
    </row>
    <row r="3674" spans="1:3" x14ac:dyDescent="0.3">
      <c r="A3674" s="426">
        <v>44048</v>
      </c>
      <c r="B3674">
        <v>11424.16</v>
      </c>
      <c r="C3674" t="s">
        <v>4081</v>
      </c>
    </row>
    <row r="3675" spans="1:3" x14ac:dyDescent="0.3">
      <c r="A3675" s="426">
        <v>44049</v>
      </c>
      <c r="B3675">
        <v>11746.71</v>
      </c>
      <c r="C3675" t="s">
        <v>4082</v>
      </c>
    </row>
    <row r="3676" spans="1:3" x14ac:dyDescent="0.3">
      <c r="A3676" s="426">
        <v>44050</v>
      </c>
      <c r="B3676">
        <v>11757.59</v>
      </c>
      <c r="C3676" t="s">
        <v>4083</v>
      </c>
    </row>
    <row r="3677" spans="1:3" x14ac:dyDescent="0.3">
      <c r="A3677" s="426">
        <v>44051</v>
      </c>
      <c r="B3677">
        <v>11694.37</v>
      </c>
      <c r="C3677" t="s">
        <v>4084</v>
      </c>
    </row>
    <row r="3678" spans="1:3" x14ac:dyDescent="0.3">
      <c r="A3678" s="426">
        <v>44052</v>
      </c>
      <c r="B3678">
        <v>11682.25</v>
      </c>
      <c r="C3678" t="s">
        <v>4085</v>
      </c>
    </row>
    <row r="3679" spans="1:3" x14ac:dyDescent="0.3">
      <c r="A3679" s="426">
        <v>44053</v>
      </c>
      <c r="B3679">
        <v>11904.39</v>
      </c>
      <c r="C3679" t="s">
        <v>4086</v>
      </c>
    </row>
    <row r="3680" spans="1:3" x14ac:dyDescent="0.3">
      <c r="A3680" s="426">
        <v>44054</v>
      </c>
      <c r="B3680">
        <v>11733.29</v>
      </c>
      <c r="C3680" t="s">
        <v>4087</v>
      </c>
    </row>
    <row r="3681" spans="1:3" x14ac:dyDescent="0.3">
      <c r="A3681" s="426">
        <v>44055</v>
      </c>
      <c r="B3681">
        <v>11502.74</v>
      </c>
      <c r="C3681" t="s">
        <v>4088</v>
      </c>
    </row>
    <row r="3682" spans="1:3" x14ac:dyDescent="0.3">
      <c r="A3682" s="426">
        <v>44056</v>
      </c>
      <c r="B3682">
        <v>11556.94</v>
      </c>
      <c r="C3682" t="s">
        <v>4089</v>
      </c>
    </row>
    <row r="3683" spans="1:3" x14ac:dyDescent="0.3">
      <c r="A3683" s="426">
        <v>44057</v>
      </c>
      <c r="B3683">
        <v>11759.51</v>
      </c>
      <c r="C3683" t="s">
        <v>4090</v>
      </c>
    </row>
    <row r="3684" spans="1:3" x14ac:dyDescent="0.3">
      <c r="A3684" s="426">
        <v>44058</v>
      </c>
      <c r="B3684">
        <v>11867.61</v>
      </c>
      <c r="C3684" t="s">
        <v>4091</v>
      </c>
    </row>
    <row r="3685" spans="1:3" x14ac:dyDescent="0.3">
      <c r="A3685" s="426">
        <v>44059</v>
      </c>
      <c r="B3685">
        <v>11859.16</v>
      </c>
      <c r="C3685" t="s">
        <v>4092</v>
      </c>
    </row>
    <row r="3686" spans="1:3" x14ac:dyDescent="0.3">
      <c r="A3686" s="426">
        <v>44060</v>
      </c>
      <c r="B3686">
        <v>11908.33</v>
      </c>
      <c r="C3686" t="s">
        <v>4093</v>
      </c>
    </row>
    <row r="3687" spans="1:3" x14ac:dyDescent="0.3">
      <c r="A3687" s="426">
        <v>44061</v>
      </c>
      <c r="B3687">
        <v>12241.57</v>
      </c>
      <c r="C3687" t="s">
        <v>4094</v>
      </c>
    </row>
    <row r="3688" spans="1:3" x14ac:dyDescent="0.3">
      <c r="A3688" s="426">
        <v>44062</v>
      </c>
      <c r="B3688">
        <v>11804.9</v>
      </c>
      <c r="C3688" t="s">
        <v>4095</v>
      </c>
    </row>
    <row r="3689" spans="1:3" x14ac:dyDescent="0.3">
      <c r="A3689" s="426">
        <v>44063</v>
      </c>
      <c r="B3689">
        <v>11807.23</v>
      </c>
      <c r="C3689" t="s">
        <v>4096</v>
      </c>
    </row>
    <row r="3690" spans="1:3" x14ac:dyDescent="0.3">
      <c r="A3690" s="426">
        <v>44064</v>
      </c>
      <c r="B3690">
        <v>11774.99</v>
      </c>
      <c r="C3690" t="s">
        <v>4097</v>
      </c>
    </row>
    <row r="3691" spans="1:3" x14ac:dyDescent="0.3">
      <c r="A3691" s="426">
        <v>44065</v>
      </c>
      <c r="B3691">
        <v>11598.85</v>
      </c>
      <c r="C3691" t="s">
        <v>4098</v>
      </c>
    </row>
    <row r="3692" spans="1:3" x14ac:dyDescent="0.3">
      <c r="A3692" s="426">
        <v>44066</v>
      </c>
      <c r="B3692">
        <v>11640.84</v>
      </c>
      <c r="C3692" t="s">
        <v>4099</v>
      </c>
    </row>
    <row r="3693" spans="1:3" x14ac:dyDescent="0.3">
      <c r="A3693" s="426">
        <v>44067</v>
      </c>
      <c r="B3693">
        <v>11754.74</v>
      </c>
      <c r="C3693" t="s">
        <v>4100</v>
      </c>
    </row>
    <row r="3694" spans="1:3" x14ac:dyDescent="0.3">
      <c r="A3694" s="426">
        <v>44068</v>
      </c>
      <c r="B3694">
        <v>11580.67</v>
      </c>
      <c r="C3694" t="s">
        <v>4101</v>
      </c>
    </row>
    <row r="3695" spans="1:3" x14ac:dyDescent="0.3">
      <c r="A3695" s="426">
        <v>44069</v>
      </c>
      <c r="B3695">
        <v>11407.24</v>
      </c>
      <c r="C3695" t="s">
        <v>4102</v>
      </c>
    </row>
    <row r="3696" spans="1:3" x14ac:dyDescent="0.3">
      <c r="A3696" s="426">
        <v>44070</v>
      </c>
      <c r="B3696">
        <v>11386.63</v>
      </c>
      <c r="C3696" t="s">
        <v>4103</v>
      </c>
    </row>
    <row r="3697" spans="1:3" x14ac:dyDescent="0.3">
      <c r="A3697" s="426">
        <v>44071</v>
      </c>
      <c r="B3697">
        <v>11464.07</v>
      </c>
      <c r="C3697" t="s">
        <v>4104</v>
      </c>
    </row>
    <row r="3698" spans="1:3" x14ac:dyDescent="0.3">
      <c r="A3698" s="426">
        <v>44072</v>
      </c>
      <c r="B3698">
        <v>11520.43</v>
      </c>
      <c r="C3698" t="s">
        <v>4105</v>
      </c>
    </row>
    <row r="3699" spans="1:3" x14ac:dyDescent="0.3">
      <c r="A3699" s="426">
        <v>44073</v>
      </c>
      <c r="B3699">
        <v>11626.51</v>
      </c>
      <c r="C3699" t="s">
        <v>4106</v>
      </c>
    </row>
    <row r="3700" spans="1:3" x14ac:dyDescent="0.3">
      <c r="A3700" s="426">
        <v>44074</v>
      </c>
      <c r="B3700">
        <v>11700.59</v>
      </c>
      <c r="C3700" t="s">
        <v>4107</v>
      </c>
    </row>
    <row r="3701" spans="1:3" x14ac:dyDescent="0.3">
      <c r="A3701" s="426">
        <v>44075</v>
      </c>
      <c r="B3701">
        <v>11911.12</v>
      </c>
      <c r="C3701" t="s">
        <v>4108</v>
      </c>
    </row>
    <row r="3702" spans="1:3" x14ac:dyDescent="0.3">
      <c r="A3702" s="426">
        <v>44076</v>
      </c>
      <c r="B3702">
        <v>11446.12</v>
      </c>
      <c r="C3702" t="s">
        <v>4109</v>
      </c>
    </row>
    <row r="3703" spans="1:3" x14ac:dyDescent="0.3">
      <c r="A3703" s="426">
        <v>44077</v>
      </c>
      <c r="B3703">
        <v>11266.94</v>
      </c>
      <c r="C3703" t="s">
        <v>4110</v>
      </c>
    </row>
    <row r="3704" spans="1:3" x14ac:dyDescent="0.3">
      <c r="A3704" s="426">
        <v>44078</v>
      </c>
      <c r="B3704">
        <v>10453.15</v>
      </c>
      <c r="C3704" t="s">
        <v>4111</v>
      </c>
    </row>
    <row r="3705" spans="1:3" x14ac:dyDescent="0.3">
      <c r="A3705" s="426">
        <v>44079</v>
      </c>
      <c r="B3705">
        <v>10328.69</v>
      </c>
      <c r="C3705" t="s">
        <v>4112</v>
      </c>
    </row>
    <row r="3706" spans="1:3" x14ac:dyDescent="0.3">
      <c r="A3706" s="426">
        <v>44080</v>
      </c>
      <c r="B3706">
        <v>10236.870000000001</v>
      </c>
      <c r="C3706" t="s">
        <v>4113</v>
      </c>
    </row>
    <row r="3707" spans="1:3" x14ac:dyDescent="0.3">
      <c r="A3707" s="426">
        <v>44081</v>
      </c>
      <c r="B3707">
        <v>10180.450000000001</v>
      </c>
      <c r="C3707" t="s">
        <v>4114</v>
      </c>
    </row>
    <row r="3708" spans="1:3" x14ac:dyDescent="0.3">
      <c r="A3708" s="426">
        <v>44082</v>
      </c>
      <c r="B3708">
        <v>10140.719999999999</v>
      </c>
      <c r="C3708" t="s">
        <v>4115</v>
      </c>
    </row>
    <row r="3709" spans="1:3" x14ac:dyDescent="0.3">
      <c r="A3709" s="426">
        <v>44083</v>
      </c>
      <c r="B3709">
        <v>10233.65</v>
      </c>
      <c r="C3709" t="s">
        <v>4116</v>
      </c>
    </row>
    <row r="3710" spans="1:3" x14ac:dyDescent="0.3">
      <c r="A3710" s="426">
        <v>44084</v>
      </c>
      <c r="B3710">
        <v>10358.4</v>
      </c>
      <c r="C3710" t="s">
        <v>4117</v>
      </c>
    </row>
    <row r="3711" spans="1:3" x14ac:dyDescent="0.3">
      <c r="A3711" s="426">
        <v>44085</v>
      </c>
      <c r="B3711">
        <v>10326.450000000001</v>
      </c>
      <c r="C3711" t="s">
        <v>4118</v>
      </c>
    </row>
    <row r="3712" spans="1:3" x14ac:dyDescent="0.3">
      <c r="A3712" s="426">
        <v>44086</v>
      </c>
      <c r="B3712">
        <v>10380.07</v>
      </c>
      <c r="C3712" t="s">
        <v>4119</v>
      </c>
    </row>
    <row r="3713" spans="1:3" x14ac:dyDescent="0.3">
      <c r="A3713" s="426">
        <v>44087</v>
      </c>
      <c r="B3713">
        <v>10385.200000000001</v>
      </c>
      <c r="C3713" t="s">
        <v>4120</v>
      </c>
    </row>
    <row r="3714" spans="1:3" x14ac:dyDescent="0.3">
      <c r="A3714" s="426">
        <v>44088</v>
      </c>
      <c r="B3714">
        <v>10557.35</v>
      </c>
      <c r="C3714" t="s">
        <v>4121</v>
      </c>
    </row>
    <row r="3715" spans="1:3" x14ac:dyDescent="0.3">
      <c r="A3715" s="426">
        <v>44089</v>
      </c>
      <c r="B3715">
        <v>10789.93</v>
      </c>
      <c r="C3715" t="s">
        <v>4122</v>
      </c>
    </row>
    <row r="3716" spans="1:3" x14ac:dyDescent="0.3">
      <c r="A3716" s="426">
        <v>44090</v>
      </c>
      <c r="B3716">
        <v>10909.86</v>
      </c>
      <c r="C3716" t="s">
        <v>4123</v>
      </c>
    </row>
    <row r="3717" spans="1:3" x14ac:dyDescent="0.3">
      <c r="A3717" s="426">
        <v>44091</v>
      </c>
      <c r="B3717">
        <v>10902.93</v>
      </c>
      <c r="C3717" t="s">
        <v>4124</v>
      </c>
    </row>
    <row r="3718" spans="1:3" x14ac:dyDescent="0.3">
      <c r="A3718" s="426">
        <v>44092</v>
      </c>
      <c r="B3718">
        <v>10936.49</v>
      </c>
      <c r="C3718" t="s">
        <v>4125</v>
      </c>
    </row>
    <row r="3719" spans="1:3" x14ac:dyDescent="0.3">
      <c r="A3719" s="426">
        <v>44093</v>
      </c>
      <c r="B3719">
        <v>11056.37</v>
      </c>
      <c r="C3719" t="s">
        <v>4126</v>
      </c>
    </row>
    <row r="3720" spans="1:3" x14ac:dyDescent="0.3">
      <c r="A3720" s="426">
        <v>44094</v>
      </c>
      <c r="B3720">
        <v>10950.63</v>
      </c>
      <c r="C3720" t="s">
        <v>4127</v>
      </c>
    </row>
    <row r="3721" spans="1:3" x14ac:dyDescent="0.3">
      <c r="A3721" s="426">
        <v>44095</v>
      </c>
      <c r="B3721">
        <v>10637.03</v>
      </c>
      <c r="C3721" t="s">
        <v>4128</v>
      </c>
    </row>
    <row r="3722" spans="1:3" x14ac:dyDescent="0.3">
      <c r="A3722" s="426">
        <v>44096</v>
      </c>
      <c r="B3722">
        <v>10637.03</v>
      </c>
      <c r="C3722" t="s">
        <v>4129</v>
      </c>
    </row>
    <row r="3723" spans="1:3" x14ac:dyDescent="0.3">
      <c r="A3723" s="426">
        <v>44097</v>
      </c>
      <c r="B3723">
        <v>10637.03</v>
      </c>
      <c r="C3723" t="s">
        <v>4130</v>
      </c>
    </row>
    <row r="3724" spans="1:3" x14ac:dyDescent="0.3">
      <c r="A3724" s="426">
        <v>44098</v>
      </c>
      <c r="B3724">
        <v>10637.03</v>
      </c>
      <c r="C3724" t="s">
        <v>4131</v>
      </c>
    </row>
    <row r="3725" spans="1:3" x14ac:dyDescent="0.3">
      <c r="A3725" s="426">
        <v>44099</v>
      </c>
      <c r="B3725">
        <v>10637.03</v>
      </c>
      <c r="C3725" t="s">
        <v>4132</v>
      </c>
    </row>
    <row r="3726" spans="1:3" x14ac:dyDescent="0.3">
      <c r="A3726" s="426">
        <v>44100</v>
      </c>
      <c r="B3726">
        <v>10637.03</v>
      </c>
      <c r="C3726" t="s">
        <v>4133</v>
      </c>
    </row>
    <row r="3727" spans="1:3" x14ac:dyDescent="0.3">
      <c r="A3727" s="426">
        <v>44101</v>
      </c>
      <c r="B3727">
        <v>10637.03</v>
      </c>
      <c r="C3727" t="s">
        <v>4134</v>
      </c>
    </row>
    <row r="3728" spans="1:3" x14ac:dyDescent="0.3">
      <c r="A3728" s="426">
        <v>44102</v>
      </c>
      <c r="B3728">
        <v>10943.47</v>
      </c>
      <c r="C3728" t="s">
        <v>4135</v>
      </c>
    </row>
    <row r="3729" spans="1:3" x14ac:dyDescent="0.3">
      <c r="A3729" s="426">
        <v>44103</v>
      </c>
      <c r="B3729">
        <v>10943.47</v>
      </c>
      <c r="C3729" t="s">
        <v>4136</v>
      </c>
    </row>
    <row r="3730" spans="1:3" x14ac:dyDescent="0.3">
      <c r="A3730" s="426">
        <v>44104</v>
      </c>
      <c r="B3730">
        <v>10753.69</v>
      </c>
      <c r="C3730" t="s">
        <v>4137</v>
      </c>
    </row>
    <row r="3731" spans="1:3" x14ac:dyDescent="0.3">
      <c r="A3731" s="426">
        <v>44105</v>
      </c>
      <c r="B3731">
        <v>10832.79</v>
      </c>
      <c r="C3731" t="s">
        <v>4138</v>
      </c>
    </row>
    <row r="3732" spans="1:3" x14ac:dyDescent="0.3">
      <c r="A3732" s="426">
        <v>44106</v>
      </c>
      <c r="B3732">
        <v>10534.07</v>
      </c>
      <c r="C3732" t="s">
        <v>4139</v>
      </c>
    </row>
    <row r="3733" spans="1:3" x14ac:dyDescent="0.3">
      <c r="A3733" s="426">
        <v>44107</v>
      </c>
      <c r="B3733">
        <v>10549.33</v>
      </c>
      <c r="C3733" t="s">
        <v>4140</v>
      </c>
    </row>
    <row r="3734" spans="1:3" x14ac:dyDescent="0.3">
      <c r="A3734" s="426">
        <v>44108</v>
      </c>
      <c r="B3734">
        <v>10575.51</v>
      </c>
      <c r="C3734" t="s">
        <v>4141</v>
      </c>
    </row>
    <row r="3735" spans="1:3" x14ac:dyDescent="0.3">
      <c r="A3735" s="426">
        <v>44109</v>
      </c>
      <c r="B3735">
        <v>10575.51</v>
      </c>
      <c r="C3735" t="s">
        <v>4142</v>
      </c>
    </row>
    <row r="3736" spans="1:3" x14ac:dyDescent="0.3">
      <c r="A3736" s="426">
        <v>44110</v>
      </c>
      <c r="B3736">
        <v>10575.51</v>
      </c>
      <c r="C3736" t="s">
        <v>4143</v>
      </c>
    </row>
    <row r="3737" spans="1:3" x14ac:dyDescent="0.3">
      <c r="A3737" s="426">
        <v>44111</v>
      </c>
      <c r="B3737">
        <v>10622.57</v>
      </c>
      <c r="C3737" t="s">
        <v>4144</v>
      </c>
    </row>
    <row r="3738" spans="1:3" x14ac:dyDescent="0.3">
      <c r="A3738" s="426">
        <v>44112</v>
      </c>
      <c r="B3738">
        <v>10896.29</v>
      </c>
      <c r="C3738" t="s">
        <v>4145</v>
      </c>
    </row>
    <row r="3739" spans="1:3" x14ac:dyDescent="0.3">
      <c r="A3739" s="426">
        <v>44113</v>
      </c>
      <c r="B3739">
        <v>11049.58</v>
      </c>
      <c r="C3739" t="s">
        <v>4146</v>
      </c>
    </row>
    <row r="3740" spans="1:3" x14ac:dyDescent="0.3">
      <c r="A3740" s="426">
        <v>44114</v>
      </c>
      <c r="B3740">
        <v>11355.22</v>
      </c>
      <c r="C3740" t="s">
        <v>4147</v>
      </c>
    </row>
    <row r="3741" spans="1:3" x14ac:dyDescent="0.3">
      <c r="A3741" s="426">
        <v>44115</v>
      </c>
      <c r="B3741">
        <v>11359.47</v>
      </c>
      <c r="C3741" t="s">
        <v>4148</v>
      </c>
    </row>
    <row r="3742" spans="1:3" x14ac:dyDescent="0.3">
      <c r="A3742" s="426">
        <v>44116</v>
      </c>
      <c r="B3742">
        <v>11399.28</v>
      </c>
      <c r="C3742" t="s">
        <v>4149</v>
      </c>
    </row>
    <row r="3743" spans="1:3" x14ac:dyDescent="0.3">
      <c r="A3743" s="426">
        <v>44117</v>
      </c>
      <c r="B3743">
        <v>11460.27</v>
      </c>
      <c r="C3743" t="s">
        <v>4150</v>
      </c>
    </row>
    <row r="3744" spans="1:3" x14ac:dyDescent="0.3">
      <c r="A3744" s="426">
        <v>44118</v>
      </c>
      <c r="B3744">
        <v>11403.48</v>
      </c>
      <c r="C3744" t="s">
        <v>4151</v>
      </c>
    </row>
    <row r="3745" spans="1:3" x14ac:dyDescent="0.3">
      <c r="A3745" s="426">
        <v>44119</v>
      </c>
      <c r="B3745">
        <v>11401.29</v>
      </c>
      <c r="C3745" t="s">
        <v>4152</v>
      </c>
    </row>
    <row r="3746" spans="1:3" x14ac:dyDescent="0.3">
      <c r="A3746" s="426">
        <v>44120</v>
      </c>
      <c r="B3746">
        <v>11336.54</v>
      </c>
      <c r="C3746" t="s">
        <v>4153</v>
      </c>
    </row>
    <row r="3747" spans="1:3" x14ac:dyDescent="0.3">
      <c r="A3747" s="426">
        <v>44121</v>
      </c>
      <c r="B3747">
        <v>11340.59</v>
      </c>
      <c r="C3747" t="s">
        <v>4154</v>
      </c>
    </row>
    <row r="3748" spans="1:3" x14ac:dyDescent="0.3">
      <c r="A3748" s="426">
        <v>44122</v>
      </c>
      <c r="B3748">
        <v>11425.88</v>
      </c>
      <c r="C3748" t="s">
        <v>4155</v>
      </c>
    </row>
    <row r="3749" spans="1:3" x14ac:dyDescent="0.3">
      <c r="A3749" s="426">
        <v>44123</v>
      </c>
      <c r="B3749">
        <v>11509.4</v>
      </c>
      <c r="C3749" t="s">
        <v>4156</v>
      </c>
    </row>
    <row r="3750" spans="1:3" x14ac:dyDescent="0.3">
      <c r="A3750" s="426">
        <v>44124</v>
      </c>
      <c r="B3750">
        <v>11838.42</v>
      </c>
      <c r="C3750" t="s">
        <v>4157</v>
      </c>
    </row>
    <row r="3751" spans="1:3" x14ac:dyDescent="0.3">
      <c r="A3751" s="426">
        <v>44125</v>
      </c>
      <c r="B3751">
        <v>12348.11</v>
      </c>
      <c r="C3751" t="s">
        <v>4158</v>
      </c>
    </row>
    <row r="3752" spans="1:3" x14ac:dyDescent="0.3">
      <c r="A3752" s="426">
        <v>44126</v>
      </c>
      <c r="B3752">
        <v>12927.82</v>
      </c>
      <c r="C3752" t="s">
        <v>4159</v>
      </c>
    </row>
    <row r="3753" spans="1:3" x14ac:dyDescent="0.3">
      <c r="A3753" s="426">
        <v>44127</v>
      </c>
      <c r="B3753">
        <v>12934.36</v>
      </c>
      <c r="C3753" t="s">
        <v>4160</v>
      </c>
    </row>
    <row r="3754" spans="1:3" x14ac:dyDescent="0.3">
      <c r="A3754" s="426">
        <v>44128</v>
      </c>
      <c r="B3754">
        <v>12983.25</v>
      </c>
      <c r="C3754" t="s">
        <v>4161</v>
      </c>
    </row>
    <row r="3755" spans="1:3" x14ac:dyDescent="0.3">
      <c r="A3755" s="426">
        <v>44129</v>
      </c>
      <c r="B3755">
        <v>13016.51</v>
      </c>
      <c r="C3755" t="s">
        <v>4162</v>
      </c>
    </row>
    <row r="3756" spans="1:3" x14ac:dyDescent="0.3">
      <c r="A3756" s="426">
        <v>44130</v>
      </c>
      <c r="B3756">
        <v>13075.05</v>
      </c>
      <c r="C3756" t="s">
        <v>4163</v>
      </c>
    </row>
    <row r="3757" spans="1:3" x14ac:dyDescent="0.3">
      <c r="A3757" s="426">
        <v>44131</v>
      </c>
      <c r="B3757">
        <v>13379.52</v>
      </c>
      <c r="C3757" t="s">
        <v>4164</v>
      </c>
    </row>
    <row r="3758" spans="1:3" x14ac:dyDescent="0.3">
      <c r="A3758" s="426">
        <v>44132</v>
      </c>
      <c r="B3758">
        <v>13336.82</v>
      </c>
      <c r="C3758" t="s">
        <v>4165</v>
      </c>
    </row>
    <row r="3759" spans="1:3" x14ac:dyDescent="0.3">
      <c r="A3759" s="426">
        <v>44133</v>
      </c>
      <c r="B3759">
        <v>13270.86</v>
      </c>
      <c r="C3759" t="s">
        <v>4166</v>
      </c>
    </row>
    <row r="3760" spans="1:3" x14ac:dyDescent="0.3">
      <c r="A3760" s="426">
        <v>44134</v>
      </c>
      <c r="B3760">
        <v>13455.97</v>
      </c>
      <c r="C3760" t="s">
        <v>4167</v>
      </c>
    </row>
    <row r="3761" spans="1:3" x14ac:dyDescent="0.3">
      <c r="A3761" s="426">
        <v>44135</v>
      </c>
      <c r="B3761">
        <v>13752.15</v>
      </c>
      <c r="C3761" t="s">
        <v>4168</v>
      </c>
    </row>
    <row r="3762" spans="1:3" x14ac:dyDescent="0.3">
      <c r="A3762" s="426">
        <v>44136</v>
      </c>
      <c r="B3762">
        <v>13745.69</v>
      </c>
      <c r="C3762" t="s">
        <v>4169</v>
      </c>
    </row>
    <row r="3763" spans="1:3" x14ac:dyDescent="0.3">
      <c r="A3763" s="426">
        <v>44137</v>
      </c>
      <c r="B3763">
        <v>13530.85</v>
      </c>
      <c r="C3763" t="s">
        <v>4170</v>
      </c>
    </row>
    <row r="3764" spans="1:3" x14ac:dyDescent="0.3">
      <c r="A3764" s="426">
        <v>44138</v>
      </c>
      <c r="B3764">
        <v>13554.38</v>
      </c>
      <c r="C3764" t="s">
        <v>4171</v>
      </c>
    </row>
    <row r="3765" spans="1:3" x14ac:dyDescent="0.3">
      <c r="A3765" s="426">
        <v>44139</v>
      </c>
      <c r="B3765">
        <v>13835.95</v>
      </c>
      <c r="C3765" t="s">
        <v>4172</v>
      </c>
    </row>
    <row r="3766" spans="1:3" x14ac:dyDescent="0.3">
      <c r="A3766" s="426">
        <v>44140</v>
      </c>
      <c r="B3766">
        <v>14763.43</v>
      </c>
      <c r="C3766" t="s">
        <v>4173</v>
      </c>
    </row>
    <row r="3767" spans="1:3" x14ac:dyDescent="0.3">
      <c r="A3767" s="426">
        <v>44141</v>
      </c>
      <c r="B3767">
        <v>15534.88</v>
      </c>
      <c r="C3767" t="s">
        <v>4174</v>
      </c>
    </row>
    <row r="3768" spans="1:3" x14ac:dyDescent="0.3">
      <c r="A3768" s="426">
        <v>44142</v>
      </c>
      <c r="B3768">
        <v>15478.02</v>
      </c>
      <c r="C3768" t="s">
        <v>4175</v>
      </c>
    </row>
    <row r="3769" spans="1:3" x14ac:dyDescent="0.3">
      <c r="A3769" s="426">
        <v>44143</v>
      </c>
      <c r="B3769">
        <v>15177.37</v>
      </c>
      <c r="C3769" t="s">
        <v>4176</v>
      </c>
    </row>
    <row r="3770" spans="1:3" x14ac:dyDescent="0.3">
      <c r="A3770" s="426">
        <v>44144</v>
      </c>
      <c r="B3770">
        <v>15391.27</v>
      </c>
      <c r="C3770" t="s">
        <v>4177</v>
      </c>
    </row>
    <row r="3771" spans="1:3" x14ac:dyDescent="0.3">
      <c r="A3771" s="426">
        <v>44145</v>
      </c>
      <c r="B3771">
        <v>15310.26</v>
      </c>
      <c r="C3771" t="s">
        <v>4178</v>
      </c>
    </row>
    <row r="3772" spans="1:3" x14ac:dyDescent="0.3">
      <c r="A3772" s="426">
        <v>44146</v>
      </c>
      <c r="B3772">
        <v>15594.49</v>
      </c>
      <c r="C3772" t="s">
        <v>4179</v>
      </c>
    </row>
    <row r="3773" spans="1:3" x14ac:dyDescent="0.3">
      <c r="A3773" s="426">
        <v>44147</v>
      </c>
      <c r="B3773">
        <v>15892.63</v>
      </c>
      <c r="C3773" t="s">
        <v>4180</v>
      </c>
    </row>
    <row r="3774" spans="1:3" x14ac:dyDescent="0.3">
      <c r="A3774" s="426">
        <v>44148</v>
      </c>
      <c r="B3774">
        <v>16258.54</v>
      </c>
      <c r="C3774" t="s">
        <v>4181</v>
      </c>
    </row>
    <row r="3775" spans="1:3" x14ac:dyDescent="0.3">
      <c r="A3775" s="426">
        <v>44149</v>
      </c>
      <c r="B3775">
        <v>15978.18</v>
      </c>
      <c r="C3775" t="s">
        <v>4182</v>
      </c>
    </row>
    <row r="3776" spans="1:3" x14ac:dyDescent="0.3">
      <c r="A3776" s="426">
        <v>44150</v>
      </c>
      <c r="B3776">
        <v>15984.19</v>
      </c>
      <c r="C3776" t="s">
        <v>4183</v>
      </c>
    </row>
    <row r="3777" spans="1:3" x14ac:dyDescent="0.3">
      <c r="A3777" s="426">
        <v>44151</v>
      </c>
      <c r="B3777">
        <v>16321.13</v>
      </c>
      <c r="C3777" t="s">
        <v>4184</v>
      </c>
    </row>
    <row r="3778" spans="1:3" x14ac:dyDescent="0.3">
      <c r="A3778" s="426">
        <v>44152</v>
      </c>
      <c r="B3778">
        <v>16963.47</v>
      </c>
      <c r="C3778" t="s">
        <v>4185</v>
      </c>
    </row>
    <row r="3779" spans="1:3" x14ac:dyDescent="0.3">
      <c r="A3779" s="426">
        <v>44153</v>
      </c>
      <c r="B3779">
        <v>17802.36</v>
      </c>
      <c r="C3779" t="s">
        <v>4186</v>
      </c>
    </row>
    <row r="3780" spans="1:3" x14ac:dyDescent="0.3">
      <c r="A3780" s="426">
        <v>44154</v>
      </c>
      <c r="B3780">
        <v>17881.36</v>
      </c>
      <c r="C3780" t="s">
        <v>4187</v>
      </c>
    </row>
    <row r="3781" spans="1:3" x14ac:dyDescent="0.3">
      <c r="A3781" s="426">
        <v>44155</v>
      </c>
      <c r="B3781">
        <v>18253.3</v>
      </c>
      <c r="C3781" t="s">
        <v>4188</v>
      </c>
    </row>
    <row r="3782" spans="1:3" x14ac:dyDescent="0.3">
      <c r="A3782" s="426">
        <v>44156</v>
      </c>
      <c r="B3782">
        <v>18652.57</v>
      </c>
      <c r="C3782" t="s">
        <v>4189</v>
      </c>
    </row>
    <row r="3783" spans="1:3" x14ac:dyDescent="0.3">
      <c r="A3783" s="426">
        <v>44157</v>
      </c>
      <c r="B3783">
        <v>18424.05</v>
      </c>
      <c r="C3783" t="s">
        <v>4190</v>
      </c>
    </row>
    <row r="3784" spans="1:3" x14ac:dyDescent="0.3">
      <c r="A3784" s="426">
        <v>44158</v>
      </c>
      <c r="B3784">
        <v>18398.689999999999</v>
      </c>
      <c r="C3784" t="s">
        <v>4191</v>
      </c>
    </row>
    <row r="3785" spans="1:3" x14ac:dyDescent="0.3">
      <c r="A3785" s="426">
        <v>44159</v>
      </c>
      <c r="B3785">
        <v>18955.66</v>
      </c>
      <c r="C3785" t="s">
        <v>4192</v>
      </c>
    </row>
    <row r="3786" spans="1:3" x14ac:dyDescent="0.3">
      <c r="A3786" s="426">
        <v>44160</v>
      </c>
      <c r="B3786">
        <v>18991.96</v>
      </c>
      <c r="C3786" t="s">
        <v>4193</v>
      </c>
    </row>
    <row r="3787" spans="1:3" x14ac:dyDescent="0.3">
      <c r="A3787" s="426">
        <v>44161</v>
      </c>
      <c r="B3787">
        <v>17183</v>
      </c>
      <c r="C3787" t="s">
        <v>4194</v>
      </c>
    </row>
    <row r="3788" spans="1:3" x14ac:dyDescent="0.3">
      <c r="A3788" s="426">
        <v>44162</v>
      </c>
      <c r="B3788">
        <v>17019.87</v>
      </c>
      <c r="C3788" t="s">
        <v>4195</v>
      </c>
    </row>
    <row r="3789" spans="1:3" x14ac:dyDescent="0.3">
      <c r="A3789" s="426">
        <v>44163</v>
      </c>
      <c r="B3789">
        <v>17187.05</v>
      </c>
      <c r="C3789" t="s">
        <v>4196</v>
      </c>
    </row>
    <row r="3790" spans="1:3" x14ac:dyDescent="0.3">
      <c r="A3790" s="426">
        <v>44164</v>
      </c>
      <c r="B3790">
        <v>18079.98</v>
      </c>
      <c r="C3790" t="s">
        <v>4197</v>
      </c>
    </row>
    <row r="3791" spans="1:3" x14ac:dyDescent="0.3">
      <c r="A3791" s="426">
        <v>44165</v>
      </c>
      <c r="B3791">
        <v>18624.490000000002</v>
      </c>
      <c r="C3791" t="s">
        <v>4198</v>
      </c>
    </row>
    <row r="3792" spans="1:3" x14ac:dyDescent="0.3">
      <c r="A3792" s="426">
        <v>44166</v>
      </c>
      <c r="B3792">
        <v>19328.98</v>
      </c>
      <c r="C3792" t="s">
        <v>4199</v>
      </c>
    </row>
    <row r="3793" spans="1:3" x14ac:dyDescent="0.3">
      <c r="A3793" s="426">
        <v>44167</v>
      </c>
      <c r="B3793">
        <v>18990.5</v>
      </c>
      <c r="C3793" t="s">
        <v>4200</v>
      </c>
    </row>
    <row r="3794" spans="1:3" x14ac:dyDescent="0.3">
      <c r="A3794" s="426">
        <v>44168</v>
      </c>
      <c r="B3794">
        <v>19347.64</v>
      </c>
      <c r="C3794" t="s">
        <v>4201</v>
      </c>
    </row>
    <row r="3795" spans="1:3" x14ac:dyDescent="0.3">
      <c r="A3795" s="426">
        <v>44169</v>
      </c>
      <c r="B3795">
        <v>19034.66</v>
      </c>
      <c r="C3795" t="s">
        <v>4202</v>
      </c>
    </row>
    <row r="3796" spans="1:3" x14ac:dyDescent="0.3">
      <c r="A3796" s="426">
        <v>44170</v>
      </c>
      <c r="B3796">
        <v>19033.3</v>
      </c>
      <c r="C3796" t="s">
        <v>4203</v>
      </c>
    </row>
    <row r="3797" spans="1:3" x14ac:dyDescent="0.3">
      <c r="A3797" s="426">
        <v>44171</v>
      </c>
      <c r="B3797">
        <v>19160.259999999998</v>
      </c>
      <c r="C3797" t="s">
        <v>4204</v>
      </c>
    </row>
    <row r="3798" spans="1:3" x14ac:dyDescent="0.3">
      <c r="A3798" s="426">
        <v>44172</v>
      </c>
      <c r="B3798">
        <v>19215.330000000002</v>
      </c>
      <c r="C3798" t="s">
        <v>4205</v>
      </c>
    </row>
    <row r="3799" spans="1:3" x14ac:dyDescent="0.3">
      <c r="A3799" s="426">
        <v>44173</v>
      </c>
      <c r="B3799">
        <v>18889.830000000002</v>
      </c>
      <c r="C3799" t="s">
        <v>4206</v>
      </c>
    </row>
    <row r="3800" spans="1:3" x14ac:dyDescent="0.3">
      <c r="A3800" s="426">
        <v>44174</v>
      </c>
      <c r="B3800">
        <v>18283.490000000002</v>
      </c>
      <c r="C3800" t="s">
        <v>4207</v>
      </c>
    </row>
    <row r="3801" spans="1:3" x14ac:dyDescent="0.3">
      <c r="A3801" s="426">
        <v>44175</v>
      </c>
      <c r="B3801">
        <v>18332.330000000002</v>
      </c>
      <c r="C3801" t="s">
        <v>4208</v>
      </c>
    </row>
    <row r="3802" spans="1:3" x14ac:dyDescent="0.3">
      <c r="A3802" s="426">
        <v>44176</v>
      </c>
      <c r="B3802">
        <v>17967.009999999998</v>
      </c>
      <c r="C3802" t="s">
        <v>4209</v>
      </c>
    </row>
    <row r="3803" spans="1:3" x14ac:dyDescent="0.3">
      <c r="A3803" s="426">
        <v>44177</v>
      </c>
      <c r="B3803">
        <v>18405.55</v>
      </c>
      <c r="C3803" t="s">
        <v>4210</v>
      </c>
    </row>
    <row r="3804" spans="1:3" x14ac:dyDescent="0.3">
      <c r="A3804" s="426">
        <v>44178</v>
      </c>
      <c r="B3804">
        <v>19170.669999999998</v>
      </c>
      <c r="C3804" t="s">
        <v>4211</v>
      </c>
    </row>
    <row r="3805" spans="1:3" x14ac:dyDescent="0.3">
      <c r="A3805" s="426">
        <v>44179</v>
      </c>
      <c r="B3805">
        <v>19147.28</v>
      </c>
      <c r="C3805" t="s">
        <v>4212</v>
      </c>
    </row>
    <row r="3806" spans="1:3" x14ac:dyDescent="0.3">
      <c r="A3806" s="426">
        <v>44180</v>
      </c>
      <c r="B3806">
        <v>19353.419999999998</v>
      </c>
      <c r="C3806" t="s">
        <v>4213</v>
      </c>
    </row>
    <row r="3807" spans="1:3" x14ac:dyDescent="0.3">
      <c r="A3807" s="426">
        <v>44181</v>
      </c>
      <c r="B3807">
        <v>19743.48</v>
      </c>
      <c r="C3807" t="s">
        <v>4214</v>
      </c>
    </row>
    <row r="3808" spans="1:3" x14ac:dyDescent="0.3">
      <c r="A3808" s="426">
        <v>44182</v>
      </c>
      <c r="B3808">
        <v>22749.34</v>
      </c>
      <c r="C3808" t="s">
        <v>4215</v>
      </c>
    </row>
    <row r="3809" spans="1:3" x14ac:dyDescent="0.3">
      <c r="A3809" s="426">
        <v>44183</v>
      </c>
      <c r="B3809">
        <v>22889.39</v>
      </c>
      <c r="C3809" t="s">
        <v>4216</v>
      </c>
    </row>
    <row r="3810" spans="1:3" x14ac:dyDescent="0.3">
      <c r="A3810" s="426">
        <v>44184</v>
      </c>
      <c r="B3810">
        <v>23128.86</v>
      </c>
      <c r="C3810" t="s">
        <v>4217</v>
      </c>
    </row>
    <row r="3811" spans="1:3" x14ac:dyDescent="0.3">
      <c r="A3811" s="426">
        <v>44185</v>
      </c>
      <c r="B3811">
        <v>23542.76</v>
      </c>
      <c r="C3811" t="s">
        <v>4218</v>
      </c>
    </row>
    <row r="3812" spans="1:3" x14ac:dyDescent="0.3">
      <c r="A3812" s="426">
        <v>44186</v>
      </c>
      <c r="B3812">
        <v>23132.61</v>
      </c>
      <c r="C3812" t="s">
        <v>4219</v>
      </c>
    </row>
    <row r="3813" spans="1:3" x14ac:dyDescent="0.3">
      <c r="A3813" s="426">
        <v>44187</v>
      </c>
      <c r="B3813">
        <v>23146.21</v>
      </c>
      <c r="C3813" t="s">
        <v>4220</v>
      </c>
    </row>
    <row r="3814" spans="1:3" x14ac:dyDescent="0.3">
      <c r="A3814" s="426">
        <v>44188</v>
      </c>
      <c r="B3814">
        <v>23557.599999999999</v>
      </c>
      <c r="C3814" t="s">
        <v>4221</v>
      </c>
    </row>
    <row r="3815" spans="1:3" x14ac:dyDescent="0.3">
      <c r="A3815" s="426">
        <v>44189</v>
      </c>
      <c r="B3815">
        <v>23245.759999999998</v>
      </c>
      <c r="C3815" t="s">
        <v>4222</v>
      </c>
    </row>
    <row r="3816" spans="1:3" x14ac:dyDescent="0.3">
      <c r="A3816" s="426">
        <v>44190</v>
      </c>
      <c r="B3816">
        <v>24087.23</v>
      </c>
      <c r="C3816" t="s">
        <v>4223</v>
      </c>
    </row>
    <row r="3817" spans="1:3" x14ac:dyDescent="0.3">
      <c r="A3817" s="426">
        <v>44191</v>
      </c>
      <c r="B3817">
        <v>24899.89</v>
      </c>
      <c r="C3817" t="s">
        <v>4224</v>
      </c>
    </row>
    <row r="3818" spans="1:3" x14ac:dyDescent="0.3">
      <c r="A3818" s="426">
        <v>44192</v>
      </c>
      <c r="B3818">
        <v>26918.13</v>
      </c>
      <c r="C3818" t="s">
        <v>4225</v>
      </c>
    </row>
    <row r="3819" spans="1:3" x14ac:dyDescent="0.3">
      <c r="A3819" s="426">
        <v>44193</v>
      </c>
      <c r="B3819">
        <v>27006.639999999999</v>
      </c>
      <c r="C3819" t="s">
        <v>4226</v>
      </c>
    </row>
    <row r="3820" spans="1:3" x14ac:dyDescent="0.3">
      <c r="A3820" s="426">
        <v>44194</v>
      </c>
      <c r="B3820">
        <v>26677.88</v>
      </c>
      <c r="C3820" t="s">
        <v>4227</v>
      </c>
    </row>
    <row r="3821" spans="1:3" x14ac:dyDescent="0.3">
      <c r="A3821" s="426">
        <v>44195</v>
      </c>
      <c r="B3821">
        <v>28040.35</v>
      </c>
      <c r="C3821" t="s">
        <v>4228</v>
      </c>
    </row>
    <row r="3822" spans="1:3" x14ac:dyDescent="0.3">
      <c r="A3822" s="426">
        <v>44196</v>
      </c>
      <c r="B3822">
        <v>28929.53</v>
      </c>
      <c r="C3822" t="s">
        <v>4229</v>
      </c>
    </row>
    <row r="3823" spans="1:3" x14ac:dyDescent="0.3">
      <c r="A3823" s="426">
        <v>44197</v>
      </c>
      <c r="B3823">
        <v>29269.7</v>
      </c>
      <c r="C3823" t="s">
        <v>4230</v>
      </c>
    </row>
    <row r="3824" spans="1:3" x14ac:dyDescent="0.3">
      <c r="A3824" s="426">
        <v>44198</v>
      </c>
      <c r="B3824">
        <v>29835.74</v>
      </c>
      <c r="C3824" t="s">
        <v>4231</v>
      </c>
    </row>
    <row r="3825" spans="1:3" x14ac:dyDescent="0.3">
      <c r="A3825" s="426">
        <v>44199</v>
      </c>
      <c r="B3825">
        <v>33434.93</v>
      </c>
      <c r="C3825" t="s">
        <v>4232</v>
      </c>
    </row>
    <row r="3826" spans="1:3" x14ac:dyDescent="0.3">
      <c r="A3826" s="426">
        <v>44200</v>
      </c>
      <c r="B3826">
        <v>31655.67</v>
      </c>
      <c r="C3826" t="s">
        <v>4233</v>
      </c>
    </row>
    <row r="3827" spans="1:3" x14ac:dyDescent="0.3">
      <c r="A3827" s="426">
        <v>44201</v>
      </c>
      <c r="B3827">
        <v>32096.720000000001</v>
      </c>
      <c r="C3827" t="s">
        <v>4234</v>
      </c>
    </row>
    <row r="3828" spans="1:3" x14ac:dyDescent="0.3">
      <c r="A3828" s="426">
        <v>44202</v>
      </c>
      <c r="B3828">
        <v>34974.22</v>
      </c>
      <c r="C3828" t="s">
        <v>4235</v>
      </c>
    </row>
    <row r="3829" spans="1:3" x14ac:dyDescent="0.3">
      <c r="A3829" s="426">
        <v>44203</v>
      </c>
      <c r="B3829">
        <v>38075.58</v>
      </c>
      <c r="C3829" t="s">
        <v>4236</v>
      </c>
    </row>
    <row r="3830" spans="1:3" x14ac:dyDescent="0.3">
      <c r="A3830" s="426">
        <v>44204</v>
      </c>
      <c r="B3830">
        <v>39832.21</v>
      </c>
      <c r="C3830" t="s">
        <v>4237</v>
      </c>
    </row>
    <row r="3831" spans="1:3" x14ac:dyDescent="0.3">
      <c r="A3831" s="426">
        <v>44205</v>
      </c>
      <c r="B3831">
        <v>40587.15</v>
      </c>
      <c r="C3831" t="s">
        <v>4238</v>
      </c>
    </row>
    <row r="3832" spans="1:3" x14ac:dyDescent="0.3">
      <c r="A3832" s="426">
        <v>44206</v>
      </c>
      <c r="B3832">
        <v>39844.639999999999</v>
      </c>
      <c r="C3832" t="s">
        <v>4239</v>
      </c>
    </row>
    <row r="3833" spans="1:3" x14ac:dyDescent="0.3">
      <c r="A3833" s="426">
        <v>44207</v>
      </c>
      <c r="B3833">
        <v>34398.18</v>
      </c>
      <c r="C3833" t="s">
        <v>4240</v>
      </c>
    </row>
    <row r="3834" spans="1:3" x14ac:dyDescent="0.3">
      <c r="A3834" s="426">
        <v>44208</v>
      </c>
      <c r="B3834">
        <v>34904.449999999997</v>
      </c>
      <c r="C3834" t="s">
        <v>4241</v>
      </c>
    </row>
    <row r="3835" spans="1:3" x14ac:dyDescent="0.3">
      <c r="A3835" s="426">
        <v>44209</v>
      </c>
      <c r="B3835">
        <v>34663.78</v>
      </c>
      <c r="C3835" t="s">
        <v>4242</v>
      </c>
    </row>
    <row r="3836" spans="1:3" x14ac:dyDescent="0.3">
      <c r="A3836" s="426">
        <v>44210</v>
      </c>
      <c r="B3836">
        <v>38442.639999999999</v>
      </c>
      <c r="C3836" t="s">
        <v>4243</v>
      </c>
    </row>
    <row r="3837" spans="1:3" x14ac:dyDescent="0.3">
      <c r="A3837" s="426">
        <v>44211</v>
      </c>
      <c r="B3837">
        <v>37906.480000000003</v>
      </c>
      <c r="C3837" t="s">
        <v>4244</v>
      </c>
    </row>
    <row r="3838" spans="1:3" x14ac:dyDescent="0.3">
      <c r="A3838" s="426">
        <v>44212</v>
      </c>
      <c r="B3838">
        <v>36850.01</v>
      </c>
      <c r="C3838" t="s">
        <v>4245</v>
      </c>
    </row>
    <row r="3839" spans="1:3" x14ac:dyDescent="0.3">
      <c r="A3839" s="426">
        <v>44213</v>
      </c>
      <c r="B3839">
        <v>35755.19</v>
      </c>
      <c r="C3839" t="s">
        <v>4246</v>
      </c>
    </row>
    <row r="3840" spans="1:3" x14ac:dyDescent="0.3">
      <c r="A3840" s="426">
        <v>44214</v>
      </c>
      <c r="B3840">
        <v>36088.53</v>
      </c>
      <c r="C3840" t="s">
        <v>4247</v>
      </c>
    </row>
    <row r="3841" spans="1:3" x14ac:dyDescent="0.3">
      <c r="A3841" s="426">
        <v>44215</v>
      </c>
      <c r="B3841">
        <v>36841.910000000003</v>
      </c>
      <c r="C3841" t="s">
        <v>4248</v>
      </c>
    </row>
    <row r="3842" spans="1:3" x14ac:dyDescent="0.3">
      <c r="A3842" s="426">
        <v>44216</v>
      </c>
      <c r="B3842">
        <v>35052.239999999998</v>
      </c>
      <c r="C3842" t="s">
        <v>4249</v>
      </c>
    </row>
    <row r="3843" spans="1:3" x14ac:dyDescent="0.3">
      <c r="A3843" s="426">
        <v>44217</v>
      </c>
      <c r="B3843">
        <v>32521.31</v>
      </c>
      <c r="C3843" t="s">
        <v>4250</v>
      </c>
    </row>
    <row r="3844" spans="1:3" x14ac:dyDescent="0.3">
      <c r="A3844" s="426">
        <v>44218</v>
      </c>
      <c r="B3844">
        <v>31872.71</v>
      </c>
      <c r="C3844" t="s">
        <v>4251</v>
      </c>
    </row>
    <row r="3845" spans="1:3" x14ac:dyDescent="0.3">
      <c r="A3845" s="426">
        <v>44219</v>
      </c>
      <c r="B3845">
        <v>32326.16</v>
      </c>
      <c r="C3845" t="s">
        <v>4252</v>
      </c>
    </row>
    <row r="3846" spans="1:3" x14ac:dyDescent="0.3">
      <c r="A3846" s="426">
        <v>44220</v>
      </c>
      <c r="B3846">
        <v>32220.87</v>
      </c>
      <c r="C3846" t="s">
        <v>4253</v>
      </c>
    </row>
    <row r="3847" spans="1:3" x14ac:dyDescent="0.3">
      <c r="A3847" s="426">
        <v>44221</v>
      </c>
      <c r="B3847">
        <v>33347.870000000003</v>
      </c>
      <c r="C3847" t="s">
        <v>4254</v>
      </c>
    </row>
    <row r="3848" spans="1:3" x14ac:dyDescent="0.3">
      <c r="A3848" s="426">
        <v>44222</v>
      </c>
      <c r="B3848">
        <v>32019.73</v>
      </c>
      <c r="C3848" t="s">
        <v>4255</v>
      </c>
    </row>
    <row r="3849" spans="1:3" x14ac:dyDescent="0.3">
      <c r="A3849" s="426">
        <v>44223</v>
      </c>
      <c r="B3849">
        <v>31284.44</v>
      </c>
      <c r="C3849" t="s">
        <v>4256</v>
      </c>
    </row>
    <row r="3850" spans="1:3" x14ac:dyDescent="0.3">
      <c r="A3850" s="426">
        <v>44224</v>
      </c>
      <c r="B3850">
        <v>31696.04</v>
      </c>
      <c r="C3850" t="s">
        <v>4257</v>
      </c>
    </row>
    <row r="3851" spans="1:3" x14ac:dyDescent="0.3">
      <c r="A3851" s="426">
        <v>44225</v>
      </c>
      <c r="B3851">
        <v>34701.89</v>
      </c>
      <c r="C3851" t="s">
        <v>4258</v>
      </c>
    </row>
    <row r="3852" spans="1:3" x14ac:dyDescent="0.3">
      <c r="A3852" s="426">
        <v>44226</v>
      </c>
      <c r="B3852">
        <v>34142.949999999997</v>
      </c>
      <c r="C3852" t="s">
        <v>4259</v>
      </c>
    </row>
    <row r="3853" spans="1:3" x14ac:dyDescent="0.3">
      <c r="A3853" s="426">
        <v>44227</v>
      </c>
      <c r="B3853">
        <v>33572.230000000003</v>
      </c>
      <c r="C3853" t="s">
        <v>4260</v>
      </c>
    </row>
    <row r="3854" spans="1:3" x14ac:dyDescent="0.3">
      <c r="A3854" s="426">
        <v>44228</v>
      </c>
      <c r="B3854">
        <v>33680.49</v>
      </c>
      <c r="C3854" t="s">
        <v>4261</v>
      </c>
    </row>
    <row r="3855" spans="1:3" x14ac:dyDescent="0.3">
      <c r="A3855" s="426">
        <v>44229</v>
      </c>
      <c r="B3855">
        <v>34811.01</v>
      </c>
      <c r="C3855" t="s">
        <v>4262</v>
      </c>
    </row>
    <row r="3856" spans="1:3" x14ac:dyDescent="0.3">
      <c r="A3856" s="426">
        <v>44230</v>
      </c>
      <c r="B3856">
        <v>36534.58</v>
      </c>
      <c r="C3856" t="s">
        <v>4263</v>
      </c>
    </row>
    <row r="3857" spans="1:3" x14ac:dyDescent="0.3">
      <c r="A3857" s="426">
        <v>44231</v>
      </c>
      <c r="B3857">
        <v>37473.53</v>
      </c>
      <c r="C3857" t="s">
        <v>4264</v>
      </c>
    </row>
    <row r="3858" spans="1:3" x14ac:dyDescent="0.3">
      <c r="A3858" s="426">
        <v>44232</v>
      </c>
      <c r="B3858">
        <v>37586.86</v>
      </c>
      <c r="C3858" t="s">
        <v>4265</v>
      </c>
    </row>
    <row r="3859" spans="1:3" x14ac:dyDescent="0.3">
      <c r="A3859" s="426">
        <v>44233</v>
      </c>
      <c r="B3859">
        <v>39823.96</v>
      </c>
      <c r="C3859" t="s">
        <v>4266</v>
      </c>
    </row>
    <row r="3860" spans="1:3" x14ac:dyDescent="0.3">
      <c r="A3860" s="426">
        <v>44234</v>
      </c>
      <c r="B3860">
        <v>38618.160000000003</v>
      </c>
      <c r="C3860" t="s">
        <v>4267</v>
      </c>
    </row>
    <row r="3861" spans="1:3" x14ac:dyDescent="0.3">
      <c r="A3861" s="426">
        <v>44235</v>
      </c>
      <c r="B3861">
        <v>39359.379999999997</v>
      </c>
      <c r="C3861" t="s">
        <v>4268</v>
      </c>
    </row>
    <row r="3862" spans="1:3" x14ac:dyDescent="0.3">
      <c r="A3862" s="426">
        <v>44236</v>
      </c>
      <c r="B3862">
        <v>46529.45</v>
      </c>
      <c r="C3862" t="s">
        <v>4269</v>
      </c>
    </row>
    <row r="3863" spans="1:3" x14ac:dyDescent="0.3">
      <c r="A3863" s="426">
        <v>44237</v>
      </c>
      <c r="B3863">
        <v>45952.81</v>
      </c>
      <c r="C3863" t="s">
        <v>4270</v>
      </c>
    </row>
    <row r="3864" spans="1:3" x14ac:dyDescent="0.3">
      <c r="A3864" s="426">
        <v>44238</v>
      </c>
      <c r="B3864">
        <v>46176.11</v>
      </c>
      <c r="C3864" t="s">
        <v>4271</v>
      </c>
    </row>
    <row r="3865" spans="1:3" x14ac:dyDescent="0.3">
      <c r="A3865" s="426">
        <v>44239</v>
      </c>
      <c r="B3865">
        <v>47594.38</v>
      </c>
      <c r="C3865" t="s">
        <v>4272</v>
      </c>
    </row>
    <row r="3866" spans="1:3" x14ac:dyDescent="0.3">
      <c r="A3866" s="426">
        <v>44240</v>
      </c>
      <c r="B3866">
        <v>47145.41</v>
      </c>
      <c r="C3866" t="s">
        <v>4273</v>
      </c>
    </row>
    <row r="3867" spans="1:3" x14ac:dyDescent="0.3">
      <c r="A3867" s="426">
        <v>44241</v>
      </c>
      <c r="B3867">
        <v>48759.4</v>
      </c>
      <c r="C3867" t="s">
        <v>4274</v>
      </c>
    </row>
    <row r="3868" spans="1:3" x14ac:dyDescent="0.3">
      <c r="A3868" s="426">
        <v>44242</v>
      </c>
      <c r="B3868">
        <v>47943.93</v>
      </c>
      <c r="C3868" t="s">
        <v>4275</v>
      </c>
    </row>
    <row r="3869" spans="1:3" x14ac:dyDescent="0.3">
      <c r="A3869" s="426">
        <v>44243</v>
      </c>
      <c r="B3869">
        <v>49012.07</v>
      </c>
      <c r="C3869" t="s">
        <v>4276</v>
      </c>
    </row>
    <row r="3870" spans="1:3" x14ac:dyDescent="0.3">
      <c r="A3870" s="426">
        <v>44244</v>
      </c>
      <c r="B3870">
        <v>51149.49</v>
      </c>
      <c r="C3870" t="s">
        <v>4277</v>
      </c>
    </row>
    <row r="3871" spans="1:3" x14ac:dyDescent="0.3">
      <c r="A3871" s="426">
        <v>44245</v>
      </c>
      <c r="B3871">
        <v>51877.32</v>
      </c>
      <c r="C3871" t="s">
        <v>4278</v>
      </c>
    </row>
    <row r="3872" spans="1:3" x14ac:dyDescent="0.3">
      <c r="A3872" s="426">
        <v>44246</v>
      </c>
      <c r="B3872">
        <v>52751.53</v>
      </c>
      <c r="C3872" t="s">
        <v>4279</v>
      </c>
    </row>
    <row r="3873" spans="1:3" x14ac:dyDescent="0.3">
      <c r="A3873" s="426">
        <v>44247</v>
      </c>
      <c r="B3873">
        <v>56170.04</v>
      </c>
      <c r="C3873" t="s">
        <v>4280</v>
      </c>
    </row>
    <row r="3874" spans="1:3" x14ac:dyDescent="0.3">
      <c r="A3874" s="426">
        <v>44248</v>
      </c>
      <c r="B3874">
        <v>57241.8</v>
      </c>
      <c r="C3874" t="s">
        <v>4281</v>
      </c>
    </row>
    <row r="3875" spans="1:3" x14ac:dyDescent="0.3">
      <c r="A3875" s="426">
        <v>44249</v>
      </c>
      <c r="B3875">
        <v>54811.97</v>
      </c>
      <c r="C3875" t="s">
        <v>4282</v>
      </c>
    </row>
    <row r="3876" spans="1:3" x14ac:dyDescent="0.3">
      <c r="A3876" s="426">
        <v>44250</v>
      </c>
      <c r="B3876">
        <v>48295.34</v>
      </c>
      <c r="C3876" t="s">
        <v>4283</v>
      </c>
    </row>
    <row r="3877" spans="1:3" x14ac:dyDescent="0.3">
      <c r="A3877" s="426">
        <v>44251</v>
      </c>
      <c r="B3877">
        <v>49926.74</v>
      </c>
      <c r="C3877" t="s">
        <v>4284</v>
      </c>
    </row>
    <row r="3878" spans="1:3" x14ac:dyDescent="0.3">
      <c r="A3878" s="426">
        <v>44252</v>
      </c>
      <c r="B3878">
        <v>50345.15</v>
      </c>
      <c r="C3878" t="s">
        <v>4285</v>
      </c>
    </row>
    <row r="3879" spans="1:3" x14ac:dyDescent="0.3">
      <c r="A3879" s="426">
        <v>44253</v>
      </c>
      <c r="B3879">
        <v>46605.06</v>
      </c>
      <c r="C3879" t="s">
        <v>4286</v>
      </c>
    </row>
    <row r="3880" spans="1:3" x14ac:dyDescent="0.3">
      <c r="A3880" s="426">
        <v>44254</v>
      </c>
      <c r="B3880">
        <v>47221.21</v>
      </c>
      <c r="C3880" t="s">
        <v>4287</v>
      </c>
    </row>
    <row r="3881" spans="1:3" x14ac:dyDescent="0.3">
      <c r="A3881" s="426">
        <v>44255</v>
      </c>
      <c r="B3881">
        <v>44943.69</v>
      </c>
      <c r="C3881" t="s">
        <v>4288</v>
      </c>
    </row>
    <row r="3882" spans="1:3" x14ac:dyDescent="0.3">
      <c r="A3882" s="426">
        <v>44256</v>
      </c>
      <c r="B3882">
        <v>48002.74</v>
      </c>
      <c r="C3882" t="s">
        <v>4289</v>
      </c>
    </row>
    <row r="3883" spans="1:3" x14ac:dyDescent="0.3">
      <c r="A3883" s="426">
        <v>44257</v>
      </c>
      <c r="B3883">
        <v>48743.49</v>
      </c>
      <c r="C3883" t="s">
        <v>4290</v>
      </c>
    </row>
    <row r="3884" spans="1:3" x14ac:dyDescent="0.3">
      <c r="A3884" s="426">
        <v>44258</v>
      </c>
      <c r="B3884">
        <v>50851.43</v>
      </c>
      <c r="C3884" t="s">
        <v>4291</v>
      </c>
    </row>
    <row r="3885" spans="1:3" x14ac:dyDescent="0.3">
      <c r="A3885" s="426">
        <v>44259</v>
      </c>
      <c r="B3885">
        <v>49417.45</v>
      </c>
      <c r="C3885" t="s">
        <v>4292</v>
      </c>
    </row>
    <row r="3886" spans="1:3" x14ac:dyDescent="0.3">
      <c r="A3886" s="426">
        <v>44260</v>
      </c>
      <c r="B3886">
        <v>47469.760000000002</v>
      </c>
      <c r="C3886" t="s">
        <v>4293</v>
      </c>
    </row>
    <row r="3887" spans="1:3" x14ac:dyDescent="0.3">
      <c r="A3887" s="426">
        <v>44261</v>
      </c>
      <c r="B3887">
        <v>48480.79</v>
      </c>
      <c r="C3887" t="s">
        <v>4294</v>
      </c>
    </row>
    <row r="3888" spans="1:3" x14ac:dyDescent="0.3">
      <c r="A3888" s="426">
        <v>44262</v>
      </c>
      <c r="B3888">
        <v>50299.86</v>
      </c>
      <c r="C3888" t="s">
        <v>4295</v>
      </c>
    </row>
    <row r="3889" spans="1:3" x14ac:dyDescent="0.3">
      <c r="A3889" s="426">
        <v>44263</v>
      </c>
      <c r="B3889">
        <v>50792.66</v>
      </c>
      <c r="C3889" t="s">
        <v>4296</v>
      </c>
    </row>
    <row r="3890" spans="1:3" x14ac:dyDescent="0.3">
      <c r="A3890" s="426">
        <v>44264</v>
      </c>
      <c r="B3890">
        <v>54062.73</v>
      </c>
      <c r="C3890" t="s">
        <v>4297</v>
      </c>
    </row>
    <row r="3891" spans="1:3" x14ac:dyDescent="0.3">
      <c r="A3891" s="426">
        <v>44265</v>
      </c>
      <c r="B3891">
        <v>55547.66</v>
      </c>
      <c r="C3891" t="s">
        <v>4298</v>
      </c>
    </row>
    <row r="3892" spans="1:3" x14ac:dyDescent="0.3">
      <c r="A3892" s="426">
        <v>44266</v>
      </c>
      <c r="B3892">
        <v>56254.79</v>
      </c>
      <c r="C3892" t="s">
        <v>4299</v>
      </c>
    </row>
    <row r="3893" spans="1:3" x14ac:dyDescent="0.3">
      <c r="A3893" s="426">
        <v>44267</v>
      </c>
      <c r="B3893">
        <v>56825.17</v>
      </c>
      <c r="C3893" t="s">
        <v>4300</v>
      </c>
    </row>
    <row r="3894" spans="1:3" x14ac:dyDescent="0.3">
      <c r="A3894" s="426">
        <v>44268</v>
      </c>
      <c r="B3894">
        <v>59564.84</v>
      </c>
      <c r="C3894" t="s">
        <v>4301</v>
      </c>
    </row>
    <row r="3895" spans="1:3" x14ac:dyDescent="0.3">
      <c r="A3895" s="426">
        <v>44269</v>
      </c>
      <c r="B3895">
        <v>60323.66</v>
      </c>
      <c r="C3895" t="s">
        <v>4302</v>
      </c>
    </row>
    <row r="3896" spans="1:3" x14ac:dyDescent="0.3">
      <c r="A3896" s="426">
        <v>44270</v>
      </c>
      <c r="B3896">
        <v>56688.9</v>
      </c>
      <c r="C3896" t="s">
        <v>4303</v>
      </c>
    </row>
    <row r="3897" spans="1:3" x14ac:dyDescent="0.3">
      <c r="A3897" s="426">
        <v>44271</v>
      </c>
      <c r="B3897">
        <v>55619.5</v>
      </c>
      <c r="C3897" t="s">
        <v>4304</v>
      </c>
    </row>
    <row r="3898" spans="1:3" x14ac:dyDescent="0.3">
      <c r="A3898" s="426">
        <v>44272</v>
      </c>
      <c r="B3898">
        <v>55938.26</v>
      </c>
      <c r="C3898" t="s">
        <v>4305</v>
      </c>
    </row>
    <row r="3899" spans="1:3" x14ac:dyDescent="0.3">
      <c r="A3899" s="426">
        <v>44273</v>
      </c>
      <c r="B3899">
        <v>58477.26</v>
      </c>
      <c r="C3899" t="s">
        <v>4306</v>
      </c>
    </row>
    <row r="3900" spans="1:3" x14ac:dyDescent="0.3">
      <c r="A3900" s="426">
        <v>44274</v>
      </c>
      <c r="B3900">
        <v>58571.34</v>
      </c>
      <c r="C3900" t="s">
        <v>4307</v>
      </c>
    </row>
    <row r="3901" spans="1:3" x14ac:dyDescent="0.3">
      <c r="A3901" s="426">
        <v>44275</v>
      </c>
      <c r="B3901">
        <v>58962.39</v>
      </c>
      <c r="C3901" t="s">
        <v>4308</v>
      </c>
    </row>
    <row r="3902" spans="1:3" x14ac:dyDescent="0.3">
      <c r="A3902" s="426">
        <v>44276</v>
      </c>
      <c r="B3902">
        <v>57401.23</v>
      </c>
      <c r="C3902" t="s">
        <v>4309</v>
      </c>
    </row>
    <row r="3903" spans="1:3" x14ac:dyDescent="0.3">
      <c r="A3903" s="426">
        <v>44277</v>
      </c>
      <c r="B3903">
        <v>57276.19</v>
      </c>
      <c r="C3903" t="s">
        <v>4310</v>
      </c>
    </row>
    <row r="3904" spans="1:3" x14ac:dyDescent="0.3">
      <c r="A3904" s="426">
        <v>44278</v>
      </c>
      <c r="B3904">
        <v>54923.94</v>
      </c>
      <c r="C3904" t="s">
        <v>4311</v>
      </c>
    </row>
    <row r="3905" spans="1:3" x14ac:dyDescent="0.3">
      <c r="A3905" s="426">
        <v>44279</v>
      </c>
      <c r="B3905">
        <v>55443.5</v>
      </c>
      <c r="C3905" t="s">
        <v>4312</v>
      </c>
    </row>
    <row r="3906" spans="1:3" x14ac:dyDescent="0.3">
      <c r="A3906" s="426">
        <v>44280</v>
      </c>
      <c r="B3906">
        <v>52445.26</v>
      </c>
      <c r="C3906" t="s">
        <v>4313</v>
      </c>
    </row>
    <row r="3907" spans="1:3" x14ac:dyDescent="0.3">
      <c r="A3907" s="426">
        <v>44281</v>
      </c>
      <c r="B3907">
        <v>53524.71</v>
      </c>
      <c r="C3907" t="s">
        <v>4314</v>
      </c>
    </row>
    <row r="3908" spans="1:3" x14ac:dyDescent="0.3">
      <c r="A3908" s="426">
        <v>44282</v>
      </c>
      <c r="B3908">
        <v>55140.03</v>
      </c>
      <c r="C3908" t="s">
        <v>4315</v>
      </c>
    </row>
    <row r="3909" spans="1:3" x14ac:dyDescent="0.3">
      <c r="A3909" s="426">
        <v>44283</v>
      </c>
      <c r="B3909">
        <v>56115.76</v>
      </c>
      <c r="C3909" t="s">
        <v>4316</v>
      </c>
    </row>
    <row r="3910" spans="1:3" x14ac:dyDescent="0.3">
      <c r="A3910" s="426">
        <v>44284</v>
      </c>
      <c r="B3910">
        <v>57619.24</v>
      </c>
      <c r="C3910" t="s">
        <v>4317</v>
      </c>
    </row>
    <row r="3911" spans="1:3" x14ac:dyDescent="0.3">
      <c r="A3911" s="426">
        <v>44285</v>
      </c>
      <c r="B3911">
        <v>58887.5</v>
      </c>
      <c r="C3911" t="s">
        <v>4318</v>
      </c>
    </row>
    <row r="3912" spans="1:3" x14ac:dyDescent="0.3">
      <c r="A3912" s="426">
        <v>44286</v>
      </c>
      <c r="B3912">
        <v>58964.66</v>
      </c>
      <c r="C3912" t="s">
        <v>4319</v>
      </c>
    </row>
    <row r="3913" spans="1:3" x14ac:dyDescent="0.3">
      <c r="A3913" s="426">
        <v>44287</v>
      </c>
      <c r="B3913">
        <v>59115.57</v>
      </c>
      <c r="C3913" t="s">
        <v>4320</v>
      </c>
    </row>
    <row r="3914" spans="1:3" x14ac:dyDescent="0.3">
      <c r="A3914" s="426">
        <v>44288</v>
      </c>
      <c r="B3914">
        <v>59722.01</v>
      </c>
      <c r="C3914" t="s">
        <v>4321</v>
      </c>
    </row>
    <row r="3915" spans="1:3" x14ac:dyDescent="0.3">
      <c r="A3915" s="426">
        <v>44289</v>
      </c>
      <c r="B3915">
        <v>59635.79</v>
      </c>
      <c r="C3915" t="s">
        <v>4322</v>
      </c>
    </row>
    <row r="3916" spans="1:3" x14ac:dyDescent="0.3">
      <c r="A3916" s="426">
        <v>44290</v>
      </c>
      <c r="B3916">
        <v>58356.09</v>
      </c>
      <c r="C3916" t="s">
        <v>4323</v>
      </c>
    </row>
    <row r="3917" spans="1:3" x14ac:dyDescent="0.3">
      <c r="A3917" s="426">
        <v>44291</v>
      </c>
      <c r="B3917">
        <v>58647.77</v>
      </c>
      <c r="C3917" t="s">
        <v>4324</v>
      </c>
    </row>
    <row r="3918" spans="1:3" x14ac:dyDescent="0.3">
      <c r="A3918" s="426">
        <v>44292</v>
      </c>
      <c r="B3918">
        <v>58656.82</v>
      </c>
      <c r="C3918" t="s">
        <v>4325</v>
      </c>
    </row>
    <row r="3919" spans="1:3" x14ac:dyDescent="0.3">
      <c r="A3919" s="426">
        <v>44293</v>
      </c>
      <c r="B3919">
        <v>56829.46</v>
      </c>
      <c r="C3919" t="s">
        <v>4326</v>
      </c>
    </row>
    <row r="3920" spans="1:3" x14ac:dyDescent="0.3">
      <c r="A3920" s="426">
        <v>44294</v>
      </c>
      <c r="B3920">
        <v>57233.24</v>
      </c>
      <c r="C3920" t="s">
        <v>4327</v>
      </c>
    </row>
    <row r="3921" spans="1:3" x14ac:dyDescent="0.3">
      <c r="A3921" s="426">
        <v>44295</v>
      </c>
      <c r="B3921">
        <v>58310.12</v>
      </c>
      <c r="C3921" t="s">
        <v>4328</v>
      </c>
    </row>
    <row r="3922" spans="1:3" x14ac:dyDescent="0.3">
      <c r="A3922" s="426">
        <v>44296</v>
      </c>
      <c r="B3922">
        <v>60251</v>
      </c>
      <c r="C3922" t="s">
        <v>4329</v>
      </c>
    </row>
    <row r="3923" spans="1:3" x14ac:dyDescent="0.3">
      <c r="A3923" s="426">
        <v>44297</v>
      </c>
      <c r="B3923">
        <v>59850.43</v>
      </c>
      <c r="C3923" t="s">
        <v>4330</v>
      </c>
    </row>
    <row r="3924" spans="1:3" x14ac:dyDescent="0.3">
      <c r="A3924" s="426">
        <v>44298</v>
      </c>
      <c r="B3924">
        <v>60100.19</v>
      </c>
      <c r="C3924" t="s">
        <v>4331</v>
      </c>
    </row>
    <row r="3925" spans="1:3" x14ac:dyDescent="0.3">
      <c r="A3925" s="426">
        <v>44299</v>
      </c>
      <c r="B3925">
        <v>62829.38</v>
      </c>
      <c r="C3925" t="s">
        <v>4332</v>
      </c>
    </row>
    <row r="3926" spans="1:3" x14ac:dyDescent="0.3">
      <c r="A3926" s="426">
        <v>44300</v>
      </c>
      <c r="B3926">
        <v>63454.42</v>
      </c>
      <c r="C3926" t="s">
        <v>4333</v>
      </c>
    </row>
    <row r="3927" spans="1:3" x14ac:dyDescent="0.3">
      <c r="A3927" s="426">
        <v>44301</v>
      </c>
      <c r="B3927">
        <v>62962.879999999997</v>
      </c>
      <c r="C3927" t="s">
        <v>4334</v>
      </c>
    </row>
    <row r="3928" spans="1:3" x14ac:dyDescent="0.3">
      <c r="A3928" s="426">
        <v>44302</v>
      </c>
      <c r="B3928">
        <v>61748.3</v>
      </c>
      <c r="C3928" t="s">
        <v>4335</v>
      </c>
    </row>
    <row r="3929" spans="1:3" x14ac:dyDescent="0.3">
      <c r="A3929" s="426">
        <v>44303</v>
      </c>
      <c r="B3929">
        <v>61409.37</v>
      </c>
      <c r="C3929" t="s">
        <v>4336</v>
      </c>
    </row>
    <row r="3930" spans="1:3" x14ac:dyDescent="0.3">
      <c r="A3930" s="426">
        <v>44304</v>
      </c>
      <c r="B3930">
        <v>55850.33</v>
      </c>
      <c r="C3930" t="s">
        <v>4337</v>
      </c>
    </row>
    <row r="3931" spans="1:3" x14ac:dyDescent="0.3">
      <c r="A3931" s="426">
        <v>44305</v>
      </c>
      <c r="B3931">
        <v>56550</v>
      </c>
      <c r="C3931" t="s">
        <v>4338</v>
      </c>
    </row>
    <row r="3932" spans="1:3" x14ac:dyDescent="0.3">
      <c r="A3932" s="426">
        <v>44306</v>
      </c>
      <c r="B3932">
        <v>55655.55</v>
      </c>
      <c r="C3932" t="s">
        <v>4339</v>
      </c>
    </row>
    <row r="3933" spans="1:3" x14ac:dyDescent="0.3">
      <c r="A3933" s="426">
        <v>44307</v>
      </c>
      <c r="B3933">
        <v>55505.73</v>
      </c>
      <c r="C3933" t="s">
        <v>4340</v>
      </c>
    </row>
    <row r="3934" spans="1:3" x14ac:dyDescent="0.3">
      <c r="A3934" s="426">
        <v>44308</v>
      </c>
      <c r="B3934">
        <v>54203.32</v>
      </c>
      <c r="C3934" t="s">
        <v>4341</v>
      </c>
    </row>
    <row r="3935" spans="1:3" x14ac:dyDescent="0.3">
      <c r="A3935" s="426">
        <v>44309</v>
      </c>
      <c r="B3935">
        <v>49882.76</v>
      </c>
      <c r="C3935" t="s">
        <v>4342</v>
      </c>
    </row>
    <row r="3936" spans="1:3" x14ac:dyDescent="0.3">
      <c r="A3936" s="426">
        <v>44310</v>
      </c>
      <c r="B3936">
        <v>50051.23</v>
      </c>
      <c r="C3936" t="s">
        <v>4343</v>
      </c>
    </row>
    <row r="3937" spans="1:3" x14ac:dyDescent="0.3">
      <c r="A3937" s="426">
        <v>44311</v>
      </c>
      <c r="B3937">
        <v>49776.41</v>
      </c>
      <c r="C3937" t="s">
        <v>4344</v>
      </c>
    </row>
    <row r="3938" spans="1:3" x14ac:dyDescent="0.3">
      <c r="A3938" s="426">
        <v>44312</v>
      </c>
      <c r="B3938">
        <v>53335.44</v>
      </c>
      <c r="C3938" t="s">
        <v>4345</v>
      </c>
    </row>
    <row r="3939" spans="1:3" x14ac:dyDescent="0.3">
      <c r="A3939" s="426">
        <v>44313</v>
      </c>
      <c r="B3939">
        <v>54757.3</v>
      </c>
      <c r="C3939" t="s">
        <v>4346</v>
      </c>
    </row>
    <row r="3940" spans="1:3" x14ac:dyDescent="0.3">
      <c r="A3940" s="426">
        <v>44314</v>
      </c>
      <c r="B3940">
        <v>54800.77</v>
      </c>
      <c r="C3940" t="s">
        <v>4347</v>
      </c>
    </row>
    <row r="3941" spans="1:3" x14ac:dyDescent="0.3">
      <c r="A3941" s="426">
        <v>44315</v>
      </c>
      <c r="B3941">
        <v>53968.01</v>
      </c>
      <c r="C3941" t="s">
        <v>4348</v>
      </c>
    </row>
    <row r="3942" spans="1:3" x14ac:dyDescent="0.3">
      <c r="A3942" s="426">
        <v>44316</v>
      </c>
      <c r="B3942">
        <v>54653.91</v>
      </c>
      <c r="C3942" t="s">
        <v>4349</v>
      </c>
    </row>
    <row r="3943" spans="1:3" x14ac:dyDescent="0.3">
      <c r="A3943" s="426">
        <v>44317</v>
      </c>
      <c r="B3943">
        <v>57779.519999999997</v>
      </c>
      <c r="C3943" t="s">
        <v>4350</v>
      </c>
    </row>
    <row r="3944" spans="1:3" x14ac:dyDescent="0.3">
      <c r="A3944" s="426">
        <v>44318</v>
      </c>
      <c r="B3944">
        <v>56832.55</v>
      </c>
      <c r="C3944" t="s">
        <v>4351</v>
      </c>
    </row>
    <row r="3945" spans="1:3" x14ac:dyDescent="0.3">
      <c r="A3945" s="426">
        <v>44319</v>
      </c>
      <c r="B3945">
        <v>57939.82</v>
      </c>
      <c r="C3945" t="s">
        <v>4352</v>
      </c>
    </row>
    <row r="3946" spans="1:3" x14ac:dyDescent="0.3">
      <c r="A3946" s="426">
        <v>44320</v>
      </c>
      <c r="B3946">
        <v>55697.85</v>
      </c>
      <c r="C3946" t="s">
        <v>4353</v>
      </c>
    </row>
    <row r="3947" spans="1:3" x14ac:dyDescent="0.3">
      <c r="A3947" s="426">
        <v>44321</v>
      </c>
      <c r="B3947">
        <v>55612.12</v>
      </c>
      <c r="C3947" t="s">
        <v>4354</v>
      </c>
    </row>
    <row r="3948" spans="1:3" x14ac:dyDescent="0.3">
      <c r="A3948" s="426">
        <v>44322</v>
      </c>
      <c r="B3948">
        <v>56955.81</v>
      </c>
      <c r="C3948" t="s">
        <v>4355</v>
      </c>
    </row>
    <row r="3949" spans="1:3" x14ac:dyDescent="0.3">
      <c r="A3949" s="426">
        <v>44323</v>
      </c>
      <c r="B3949">
        <v>56805.760000000002</v>
      </c>
      <c r="C3949" t="s">
        <v>4356</v>
      </c>
    </row>
    <row r="3950" spans="1:3" x14ac:dyDescent="0.3">
      <c r="A3950" s="426">
        <v>44324</v>
      </c>
      <c r="B3950">
        <v>58634.49</v>
      </c>
      <c r="C3950" t="s">
        <v>4357</v>
      </c>
    </row>
    <row r="3951" spans="1:3" x14ac:dyDescent="0.3">
      <c r="A3951" s="426">
        <v>44325</v>
      </c>
      <c r="B3951">
        <v>58046.46</v>
      </c>
      <c r="C3951" t="s">
        <v>4358</v>
      </c>
    </row>
    <row r="3952" spans="1:3" x14ac:dyDescent="0.3">
      <c r="A3952" s="426">
        <v>44326</v>
      </c>
      <c r="B3952">
        <v>57996.800000000003</v>
      </c>
      <c r="C3952" t="s">
        <v>4359</v>
      </c>
    </row>
    <row r="3953" spans="1:3" x14ac:dyDescent="0.3">
      <c r="A3953" s="426">
        <v>44327</v>
      </c>
      <c r="B3953">
        <v>55847.24</v>
      </c>
      <c r="C3953" t="s">
        <v>4360</v>
      </c>
    </row>
    <row r="3954" spans="1:3" x14ac:dyDescent="0.3">
      <c r="A3954" s="426">
        <v>44328</v>
      </c>
      <c r="B3954">
        <v>56487.85</v>
      </c>
      <c r="C3954" t="s">
        <v>4361</v>
      </c>
    </row>
    <row r="3955" spans="1:3" x14ac:dyDescent="0.3">
      <c r="A3955" s="426">
        <v>44329</v>
      </c>
      <c r="B3955">
        <v>49881.51</v>
      </c>
      <c r="C3955" t="s">
        <v>4362</v>
      </c>
    </row>
    <row r="3956" spans="1:3" x14ac:dyDescent="0.3">
      <c r="A3956" s="426">
        <v>44330</v>
      </c>
      <c r="B3956">
        <v>50175.95</v>
      </c>
      <c r="C3956" t="s">
        <v>4363</v>
      </c>
    </row>
    <row r="3957" spans="1:3" x14ac:dyDescent="0.3">
      <c r="A3957" s="426">
        <v>44331</v>
      </c>
      <c r="B3957">
        <v>48880.34</v>
      </c>
      <c r="C3957" t="s">
        <v>4364</v>
      </c>
    </row>
    <row r="3958" spans="1:3" x14ac:dyDescent="0.3">
      <c r="A3958" s="426">
        <v>44332</v>
      </c>
      <c r="B3958">
        <v>48147.34</v>
      </c>
      <c r="C3958" t="s">
        <v>4365</v>
      </c>
    </row>
    <row r="3959" spans="1:3" x14ac:dyDescent="0.3">
      <c r="A3959" s="426">
        <v>44333</v>
      </c>
      <c r="B3959">
        <v>44382.46</v>
      </c>
      <c r="C3959" t="s">
        <v>4366</v>
      </c>
    </row>
    <row r="3960" spans="1:3" x14ac:dyDescent="0.3">
      <c r="A3960" s="426">
        <v>44334</v>
      </c>
      <c r="B3960">
        <v>44459.3</v>
      </c>
      <c r="C3960" t="s">
        <v>4367</v>
      </c>
    </row>
    <row r="3961" spans="1:3" x14ac:dyDescent="0.3">
      <c r="A3961" s="426">
        <v>44335</v>
      </c>
      <c r="B3961">
        <v>39380.44</v>
      </c>
      <c r="C3961" t="s">
        <v>4368</v>
      </c>
    </row>
    <row r="3962" spans="1:3" x14ac:dyDescent="0.3">
      <c r="A3962" s="426">
        <v>44336</v>
      </c>
      <c r="B3962">
        <v>39970.620000000003</v>
      </c>
      <c r="C3962" t="s">
        <v>4369</v>
      </c>
    </row>
    <row r="3963" spans="1:3" x14ac:dyDescent="0.3">
      <c r="A3963" s="426">
        <v>44337</v>
      </c>
      <c r="B3963">
        <v>39959.370000000003</v>
      </c>
      <c r="C3963" t="s">
        <v>4370</v>
      </c>
    </row>
    <row r="3964" spans="1:3" x14ac:dyDescent="0.3">
      <c r="A3964" s="426">
        <v>44338</v>
      </c>
      <c r="B3964">
        <v>37769.24</v>
      </c>
      <c r="C3964" t="s">
        <v>4371</v>
      </c>
    </row>
    <row r="3965" spans="1:3" x14ac:dyDescent="0.3">
      <c r="A3965" s="426">
        <v>44339</v>
      </c>
      <c r="B3965">
        <v>34830.57</v>
      </c>
      <c r="C3965" t="s">
        <v>4372</v>
      </c>
    </row>
    <row r="3966" spans="1:3" x14ac:dyDescent="0.3">
      <c r="A3966" s="426">
        <v>44340</v>
      </c>
      <c r="B3966">
        <v>37360.17</v>
      </c>
      <c r="C3966" t="s">
        <v>4373</v>
      </c>
    </row>
    <row r="3967" spans="1:3" x14ac:dyDescent="0.3">
      <c r="A3967" s="426">
        <v>44341</v>
      </c>
      <c r="B3967">
        <v>38078.949999999997</v>
      </c>
      <c r="C3967" t="s">
        <v>4374</v>
      </c>
    </row>
    <row r="3968" spans="1:3" x14ac:dyDescent="0.3">
      <c r="A3968" s="426">
        <v>44342</v>
      </c>
      <c r="B3968">
        <v>39253.230000000003</v>
      </c>
      <c r="C3968" t="s">
        <v>4375</v>
      </c>
    </row>
    <row r="3969" spans="1:3" x14ac:dyDescent="0.3">
      <c r="A3969" s="426">
        <v>44343</v>
      </c>
      <c r="B3969">
        <v>38840.61</v>
      </c>
      <c r="C3969" t="s">
        <v>4376</v>
      </c>
    </row>
    <row r="3970" spans="1:3" x14ac:dyDescent="0.3">
      <c r="A3970" s="426">
        <v>44344</v>
      </c>
      <c r="B3970">
        <v>36727.599999999999</v>
      </c>
      <c r="C3970" t="s">
        <v>4377</v>
      </c>
    </row>
    <row r="3971" spans="1:3" x14ac:dyDescent="0.3">
      <c r="A3971" s="426">
        <v>44345</v>
      </c>
      <c r="B3971">
        <v>35122.28</v>
      </c>
      <c r="C3971" t="s">
        <v>4378</v>
      </c>
    </row>
    <row r="3972" spans="1:3" x14ac:dyDescent="0.3">
      <c r="A3972" s="426">
        <v>44346</v>
      </c>
      <c r="B3972">
        <v>35700.25</v>
      </c>
      <c r="C3972" t="s">
        <v>4379</v>
      </c>
    </row>
    <row r="3973" spans="1:3" x14ac:dyDescent="0.3">
      <c r="A3973" s="426">
        <v>44347</v>
      </c>
      <c r="B3973">
        <v>36740.519999999997</v>
      </c>
      <c r="C3973" t="s">
        <v>4380</v>
      </c>
    </row>
    <row r="3974" spans="1:3" x14ac:dyDescent="0.3">
      <c r="A3974" s="426">
        <v>44348</v>
      </c>
      <c r="B3974">
        <v>36531.61</v>
      </c>
      <c r="C3974" t="s">
        <v>4381</v>
      </c>
    </row>
    <row r="3975" spans="1:3" x14ac:dyDescent="0.3">
      <c r="A3975" s="426">
        <v>44349</v>
      </c>
      <c r="B3975">
        <v>37372.720000000001</v>
      </c>
      <c r="C3975" t="s">
        <v>4382</v>
      </c>
    </row>
    <row r="3976" spans="1:3" x14ac:dyDescent="0.3">
      <c r="A3976" s="426">
        <v>44350</v>
      </c>
      <c r="B3976">
        <v>38740.22</v>
      </c>
      <c r="C3976" t="s">
        <v>4383</v>
      </c>
    </row>
    <row r="3977" spans="1:3" x14ac:dyDescent="0.3">
      <c r="A3977" s="426">
        <v>44351</v>
      </c>
      <c r="B3977">
        <v>36991.199999999997</v>
      </c>
      <c r="C3977" t="s">
        <v>4384</v>
      </c>
    </row>
    <row r="3978" spans="1:3" x14ac:dyDescent="0.3">
      <c r="A3978" s="426">
        <v>44352</v>
      </c>
      <c r="B3978">
        <v>36263.919999999998</v>
      </c>
      <c r="C3978" t="s">
        <v>4385</v>
      </c>
    </row>
    <row r="3979" spans="1:3" x14ac:dyDescent="0.3">
      <c r="A3979" s="426">
        <v>44353</v>
      </c>
      <c r="B3979">
        <v>36006.21</v>
      </c>
      <c r="C3979" t="s">
        <v>4386</v>
      </c>
    </row>
    <row r="3980" spans="1:3" x14ac:dyDescent="0.3">
      <c r="A3980" s="426">
        <v>44354</v>
      </c>
      <c r="B3980">
        <v>36177.49</v>
      </c>
      <c r="C3980" t="s">
        <v>4387</v>
      </c>
    </row>
    <row r="3981" spans="1:3" x14ac:dyDescent="0.3">
      <c r="A3981" s="426">
        <v>44355</v>
      </c>
      <c r="B3981">
        <v>32903.360000000001</v>
      </c>
      <c r="C3981" t="s">
        <v>4388</v>
      </c>
    </row>
    <row r="3982" spans="1:3" x14ac:dyDescent="0.3">
      <c r="A3982" s="426">
        <v>44356</v>
      </c>
      <c r="B3982">
        <v>34918.480000000003</v>
      </c>
      <c r="C3982" t="s">
        <v>4389</v>
      </c>
    </row>
    <row r="3983" spans="1:3" x14ac:dyDescent="0.3">
      <c r="A3983" s="426">
        <v>44357</v>
      </c>
      <c r="B3983">
        <v>36900.11</v>
      </c>
      <c r="C3983" t="s">
        <v>4390</v>
      </c>
    </row>
    <row r="3984" spans="1:3" x14ac:dyDescent="0.3">
      <c r="A3984" s="426">
        <v>44358</v>
      </c>
      <c r="B3984">
        <v>37092.93</v>
      </c>
      <c r="C3984" t="s">
        <v>4391</v>
      </c>
    </row>
    <row r="3985" spans="1:3" x14ac:dyDescent="0.3">
      <c r="A3985" s="426">
        <v>44359</v>
      </c>
      <c r="B3985">
        <v>35668.44</v>
      </c>
      <c r="C3985" t="s">
        <v>4392</v>
      </c>
    </row>
    <row r="3986" spans="1:3" x14ac:dyDescent="0.3">
      <c r="A3986" s="426">
        <v>44360</v>
      </c>
      <c r="B3986">
        <v>35892.61</v>
      </c>
      <c r="C3986" t="s">
        <v>4393</v>
      </c>
    </row>
    <row r="3987" spans="1:3" x14ac:dyDescent="0.3">
      <c r="A3987" s="426">
        <v>44361</v>
      </c>
      <c r="B3987">
        <v>39592.5</v>
      </c>
      <c r="C3987" t="s">
        <v>4394</v>
      </c>
    </row>
    <row r="3988" spans="1:3" x14ac:dyDescent="0.3">
      <c r="A3988" s="426">
        <v>44362</v>
      </c>
      <c r="B3988">
        <v>40236.129999999997</v>
      </c>
      <c r="C3988" t="s">
        <v>4395</v>
      </c>
    </row>
    <row r="3989" spans="1:3" x14ac:dyDescent="0.3">
      <c r="A3989" s="426">
        <v>44363</v>
      </c>
      <c r="B3989">
        <v>39241.5</v>
      </c>
      <c r="C3989" t="s">
        <v>4396</v>
      </c>
    </row>
    <row r="3990" spans="1:3" x14ac:dyDescent="0.3">
      <c r="A3990" s="426">
        <v>44364</v>
      </c>
      <c r="B3990">
        <v>38760.339999999997</v>
      </c>
      <c r="C3990" t="s">
        <v>4397</v>
      </c>
    </row>
    <row r="3991" spans="1:3" x14ac:dyDescent="0.3">
      <c r="A3991" s="426">
        <v>44365</v>
      </c>
      <c r="B3991">
        <v>37452.269999999997</v>
      </c>
      <c r="C3991" t="s">
        <v>4398</v>
      </c>
    </row>
    <row r="3992" spans="1:3" x14ac:dyDescent="0.3">
      <c r="A3992" s="426">
        <v>44366</v>
      </c>
      <c r="B3992">
        <v>35806.720000000001</v>
      </c>
      <c r="C3992" t="s">
        <v>4399</v>
      </c>
    </row>
    <row r="3993" spans="1:3" x14ac:dyDescent="0.3">
      <c r="A3993" s="426">
        <v>44367</v>
      </c>
      <c r="B3993">
        <v>35412.79</v>
      </c>
      <c r="C3993" t="s">
        <v>4400</v>
      </c>
    </row>
    <row r="3994" spans="1:3" x14ac:dyDescent="0.3">
      <c r="A3994" s="426">
        <v>44368</v>
      </c>
      <c r="B3994">
        <v>32771.879999999997</v>
      </c>
      <c r="C3994" t="s">
        <v>4401</v>
      </c>
    </row>
    <row r="3995" spans="1:3" x14ac:dyDescent="0.3">
      <c r="A3995" s="426">
        <v>44369</v>
      </c>
      <c r="B3995">
        <v>32505.66</v>
      </c>
      <c r="C3995" t="s">
        <v>4402</v>
      </c>
    </row>
    <row r="3996" spans="1:3" x14ac:dyDescent="0.3">
      <c r="A3996" s="426">
        <v>44370</v>
      </c>
      <c r="B3996">
        <v>33863.269999999997</v>
      </c>
      <c r="C3996" t="s">
        <v>4403</v>
      </c>
    </row>
    <row r="3997" spans="1:3" x14ac:dyDescent="0.3">
      <c r="A3997" s="426">
        <v>44371</v>
      </c>
      <c r="B3997">
        <v>33879.19</v>
      </c>
      <c r="C3997" t="s">
        <v>4404</v>
      </c>
    </row>
    <row r="3998" spans="1:3" x14ac:dyDescent="0.3">
      <c r="A3998" s="426">
        <v>44372</v>
      </c>
      <c r="B3998">
        <v>33387.06</v>
      </c>
      <c r="C3998" t="s">
        <v>4405</v>
      </c>
    </row>
    <row r="3999" spans="1:3" x14ac:dyDescent="0.3">
      <c r="A3999" s="426">
        <v>44373</v>
      </c>
      <c r="B3999">
        <v>31552.68</v>
      </c>
      <c r="C3999" t="s">
        <v>4406</v>
      </c>
    </row>
    <row r="4000" spans="1:3" x14ac:dyDescent="0.3">
      <c r="A4000" s="426">
        <v>44374</v>
      </c>
      <c r="B4000">
        <v>33071.480000000003</v>
      </c>
      <c r="C4000" t="s">
        <v>4407</v>
      </c>
    </row>
    <row r="4001" spans="1:3" x14ac:dyDescent="0.3">
      <c r="A4001" s="426">
        <v>44375</v>
      </c>
      <c r="B4001">
        <v>34451.08</v>
      </c>
      <c r="C4001" t="s">
        <v>4408</v>
      </c>
    </row>
    <row r="4002" spans="1:3" x14ac:dyDescent="0.3">
      <c r="A4002" s="426">
        <v>44376</v>
      </c>
      <c r="B4002">
        <v>35788.81</v>
      </c>
      <c r="C4002" t="s">
        <v>4409</v>
      </c>
    </row>
    <row r="4003" spans="1:3" x14ac:dyDescent="0.3">
      <c r="A4003" s="426">
        <v>44377</v>
      </c>
      <c r="B4003">
        <v>34817.81</v>
      </c>
      <c r="C4003" t="s">
        <v>4410</v>
      </c>
    </row>
    <row r="4004" spans="1:3" x14ac:dyDescent="0.3">
      <c r="A4004" s="426">
        <v>44378</v>
      </c>
      <c r="B4004">
        <v>33533.230000000003</v>
      </c>
      <c r="C4004" t="s">
        <v>4411</v>
      </c>
    </row>
    <row r="4005" spans="1:3" x14ac:dyDescent="0.3">
      <c r="A4005" s="426">
        <v>44379</v>
      </c>
      <c r="B4005">
        <v>33337.39</v>
      </c>
      <c r="C4005" t="s">
        <v>4412</v>
      </c>
    </row>
    <row r="4006" spans="1:3" x14ac:dyDescent="0.3">
      <c r="A4006" s="426">
        <v>44380</v>
      </c>
      <c r="B4006">
        <v>34570.46</v>
      </c>
      <c r="C4006" t="s">
        <v>4413</v>
      </c>
    </row>
    <row r="4007" spans="1:3" x14ac:dyDescent="0.3">
      <c r="A4007" s="426">
        <v>44381</v>
      </c>
      <c r="B4007">
        <v>35432.050000000003</v>
      </c>
      <c r="C4007" t="s">
        <v>4414</v>
      </c>
    </row>
    <row r="4008" spans="1:3" x14ac:dyDescent="0.3">
      <c r="A4008" s="426">
        <v>44382</v>
      </c>
      <c r="B4008">
        <v>34138.17</v>
      </c>
      <c r="C4008" t="s">
        <v>4415</v>
      </c>
    </row>
    <row r="4009" spans="1:3" x14ac:dyDescent="0.3">
      <c r="A4009" s="426">
        <v>44383</v>
      </c>
      <c r="B4009">
        <v>34066.39</v>
      </c>
      <c r="C4009" t="s">
        <v>4416</v>
      </c>
    </row>
    <row r="4010" spans="1:3" x14ac:dyDescent="0.3">
      <c r="A4010" s="426">
        <v>44384</v>
      </c>
      <c r="B4010">
        <v>34619.43</v>
      </c>
      <c r="C4010" t="s">
        <v>4417</v>
      </c>
    </row>
    <row r="4011" spans="1:3" x14ac:dyDescent="0.3">
      <c r="A4011" s="426">
        <v>44385</v>
      </c>
      <c r="B4011">
        <v>32860.11</v>
      </c>
      <c r="C4011" t="s">
        <v>4418</v>
      </c>
    </row>
    <row r="4012" spans="1:3" x14ac:dyDescent="0.3">
      <c r="A4012" s="426">
        <v>44386</v>
      </c>
      <c r="B4012">
        <v>33059.83</v>
      </c>
      <c r="C4012" t="s">
        <v>4419</v>
      </c>
    </row>
    <row r="4013" spans="1:3" x14ac:dyDescent="0.3">
      <c r="A4013" s="426">
        <v>44387</v>
      </c>
      <c r="B4013">
        <v>33730.54</v>
      </c>
      <c r="C4013" t="s">
        <v>4420</v>
      </c>
    </row>
    <row r="4014" spans="1:3" x14ac:dyDescent="0.3">
      <c r="A4014" s="426">
        <v>44388</v>
      </c>
      <c r="B4014">
        <v>33820.339999999997</v>
      </c>
      <c r="C4014" t="s">
        <v>4421</v>
      </c>
    </row>
    <row r="4015" spans="1:3" x14ac:dyDescent="0.3">
      <c r="A4015" s="426">
        <v>44389</v>
      </c>
      <c r="B4015">
        <v>33600.6</v>
      </c>
      <c r="C4015" t="s">
        <v>4422</v>
      </c>
    </row>
    <row r="4016" spans="1:3" x14ac:dyDescent="0.3">
      <c r="A4016" s="426">
        <v>44390</v>
      </c>
      <c r="B4016">
        <v>32862.69</v>
      </c>
      <c r="C4016" t="s">
        <v>4423</v>
      </c>
    </row>
    <row r="4017" spans="1:3" x14ac:dyDescent="0.3">
      <c r="A4017" s="426">
        <v>44391</v>
      </c>
      <c r="B4017">
        <v>32580.84</v>
      </c>
      <c r="C4017" t="s">
        <v>4424</v>
      </c>
    </row>
    <row r="4018" spans="1:3" x14ac:dyDescent="0.3">
      <c r="A4018" s="426">
        <v>44392</v>
      </c>
      <c r="B4018">
        <v>31876.27</v>
      </c>
      <c r="C4018" t="s">
        <v>4425</v>
      </c>
    </row>
    <row r="4019" spans="1:3" x14ac:dyDescent="0.3">
      <c r="A4019" s="426">
        <v>44393</v>
      </c>
      <c r="B4019">
        <v>31817.81</v>
      </c>
      <c r="C4019" t="s">
        <v>4426</v>
      </c>
    </row>
    <row r="4020" spans="1:3" x14ac:dyDescent="0.3">
      <c r="A4020" s="426">
        <v>44394</v>
      </c>
      <c r="B4020">
        <v>31596.53</v>
      </c>
      <c r="C4020" t="s">
        <v>4427</v>
      </c>
    </row>
    <row r="4021" spans="1:3" x14ac:dyDescent="0.3">
      <c r="A4021" s="426">
        <v>44395</v>
      </c>
      <c r="B4021">
        <v>31723.15</v>
      </c>
      <c r="C4021" t="s">
        <v>4428</v>
      </c>
    </row>
    <row r="4022" spans="1:3" x14ac:dyDescent="0.3">
      <c r="A4022" s="426">
        <v>44396</v>
      </c>
      <c r="B4022">
        <v>31249.45</v>
      </c>
      <c r="C4022" t="s">
        <v>4429</v>
      </c>
    </row>
    <row r="4023" spans="1:3" x14ac:dyDescent="0.3">
      <c r="A4023" s="426">
        <v>44397</v>
      </c>
      <c r="B4023">
        <v>29728.93</v>
      </c>
      <c r="C4023" t="s">
        <v>4430</v>
      </c>
    </row>
    <row r="4024" spans="1:3" x14ac:dyDescent="0.3">
      <c r="A4024" s="426">
        <v>44398</v>
      </c>
      <c r="B4024">
        <v>31469.91</v>
      </c>
      <c r="C4024" t="s">
        <v>4431</v>
      </c>
    </row>
    <row r="4025" spans="1:3" x14ac:dyDescent="0.3">
      <c r="A4025" s="426">
        <v>44399</v>
      </c>
      <c r="B4025">
        <v>32159.81</v>
      </c>
      <c r="C4025" t="s">
        <v>4432</v>
      </c>
    </row>
    <row r="4026" spans="1:3" x14ac:dyDescent="0.3">
      <c r="A4026" s="426">
        <v>44400</v>
      </c>
      <c r="B4026">
        <v>32458.16</v>
      </c>
      <c r="C4026" t="s">
        <v>4433</v>
      </c>
    </row>
    <row r="4027" spans="1:3" x14ac:dyDescent="0.3">
      <c r="A4027" s="426">
        <v>44401</v>
      </c>
      <c r="B4027">
        <v>33846.65</v>
      </c>
      <c r="C4027" t="s">
        <v>4434</v>
      </c>
    </row>
    <row r="4028" spans="1:3" x14ac:dyDescent="0.3">
      <c r="A4028" s="426">
        <v>44402</v>
      </c>
      <c r="B4028">
        <v>34375.4</v>
      </c>
      <c r="C4028" t="s">
        <v>4435</v>
      </c>
    </row>
    <row r="4029" spans="1:3" x14ac:dyDescent="0.3">
      <c r="A4029" s="426">
        <v>44403</v>
      </c>
      <c r="B4029">
        <v>38359.019999999997</v>
      </c>
      <c r="C4029" t="s">
        <v>4436</v>
      </c>
    </row>
    <row r="4030" spans="1:3" x14ac:dyDescent="0.3">
      <c r="A4030" s="426">
        <v>44404</v>
      </c>
      <c r="B4030">
        <v>37766.639999999999</v>
      </c>
      <c r="C4030" t="s">
        <v>4437</v>
      </c>
    </row>
    <row r="4031" spans="1:3" x14ac:dyDescent="0.3">
      <c r="A4031" s="426">
        <v>44405</v>
      </c>
      <c r="B4031">
        <v>39845.22</v>
      </c>
      <c r="C4031" t="s">
        <v>4438</v>
      </c>
    </row>
    <row r="4032" spans="1:3" x14ac:dyDescent="0.3">
      <c r="A4032" s="426">
        <v>44406</v>
      </c>
      <c r="B4032">
        <v>39824.660000000003</v>
      </c>
      <c r="C4032" t="s">
        <v>4439</v>
      </c>
    </row>
    <row r="4033" spans="1:3" x14ac:dyDescent="0.3">
      <c r="A4033" s="426">
        <v>44407</v>
      </c>
      <c r="B4033">
        <v>39700.870000000003</v>
      </c>
      <c r="C4033" t="s">
        <v>4440</v>
      </c>
    </row>
    <row r="4034" spans="1:3" x14ac:dyDescent="0.3">
      <c r="A4034" s="426">
        <v>44408</v>
      </c>
      <c r="B4034">
        <v>41631.81</v>
      </c>
      <c r="C4034" t="s">
        <v>4441</v>
      </c>
    </row>
    <row r="4035" spans="1:3" x14ac:dyDescent="0.3">
      <c r="A4035" s="426">
        <v>44409</v>
      </c>
      <c r="B4035">
        <v>41540.79</v>
      </c>
      <c r="C4035" t="s">
        <v>4442</v>
      </c>
    </row>
    <row r="4036" spans="1:3" x14ac:dyDescent="0.3">
      <c r="A4036" s="426">
        <v>44410</v>
      </c>
      <c r="B4036">
        <v>39648.839999999997</v>
      </c>
      <c r="C4036" t="s">
        <v>4443</v>
      </c>
    </row>
    <row r="4037" spans="1:3" x14ac:dyDescent="0.3">
      <c r="A4037" s="426">
        <v>44411</v>
      </c>
      <c r="B4037">
        <v>38425.11</v>
      </c>
      <c r="C4037" t="s">
        <v>4444</v>
      </c>
    </row>
    <row r="4038" spans="1:3" x14ac:dyDescent="0.3">
      <c r="A4038" s="426">
        <v>44412</v>
      </c>
      <c r="B4038">
        <v>38488.75</v>
      </c>
      <c r="C4038" t="s">
        <v>4445</v>
      </c>
    </row>
    <row r="4039" spans="1:3" x14ac:dyDescent="0.3">
      <c r="A4039" s="426">
        <v>44413</v>
      </c>
      <c r="B4039">
        <v>39351.129999999997</v>
      </c>
      <c r="C4039" t="s">
        <v>4446</v>
      </c>
    </row>
    <row r="4040" spans="1:3" x14ac:dyDescent="0.3">
      <c r="A4040" s="426">
        <v>44414</v>
      </c>
      <c r="B4040">
        <v>40882.68</v>
      </c>
      <c r="C4040" t="s">
        <v>4447</v>
      </c>
    </row>
    <row r="4041" spans="1:3" x14ac:dyDescent="0.3">
      <c r="A4041" s="426">
        <v>44415</v>
      </c>
      <c r="B4041">
        <v>43538.400000000001</v>
      </c>
      <c r="C4041" t="s">
        <v>4448</v>
      </c>
    </row>
    <row r="4042" spans="1:3" x14ac:dyDescent="0.3">
      <c r="A4042" s="426">
        <v>44416</v>
      </c>
      <c r="B4042">
        <v>44313.18</v>
      </c>
      <c r="C4042" t="s">
        <v>4449</v>
      </c>
    </row>
    <row r="4043" spans="1:3" x14ac:dyDescent="0.3">
      <c r="A4043" s="426">
        <v>44417</v>
      </c>
      <c r="B4043">
        <v>45576.25</v>
      </c>
      <c r="C4043" t="s">
        <v>4450</v>
      </c>
    </row>
    <row r="4044" spans="1:3" x14ac:dyDescent="0.3">
      <c r="A4044" s="426">
        <v>44418</v>
      </c>
      <c r="B4044">
        <v>45588.77</v>
      </c>
      <c r="C4044" t="s">
        <v>4451</v>
      </c>
    </row>
    <row r="4045" spans="1:3" x14ac:dyDescent="0.3">
      <c r="A4045" s="426">
        <v>44419</v>
      </c>
      <c r="B4045">
        <v>46148.2</v>
      </c>
      <c r="C4045" t="s">
        <v>4452</v>
      </c>
    </row>
    <row r="4046" spans="1:3" x14ac:dyDescent="0.3">
      <c r="A4046" s="426">
        <v>44420</v>
      </c>
      <c r="B4046">
        <v>44848.46</v>
      </c>
      <c r="C4046" t="s">
        <v>4453</v>
      </c>
    </row>
    <row r="4047" spans="1:3" x14ac:dyDescent="0.3">
      <c r="A4047" s="426">
        <v>44421</v>
      </c>
      <c r="B4047">
        <v>46356.31</v>
      </c>
      <c r="C4047" t="s">
        <v>4454</v>
      </c>
    </row>
    <row r="4048" spans="1:3" x14ac:dyDescent="0.3">
      <c r="A4048" s="426">
        <v>44422</v>
      </c>
      <c r="B4048">
        <v>47027.360000000001</v>
      </c>
      <c r="C4048" t="s">
        <v>4455</v>
      </c>
    </row>
    <row r="4049" spans="1:3" x14ac:dyDescent="0.3">
      <c r="A4049" s="426">
        <v>44423</v>
      </c>
      <c r="B4049">
        <v>46342.06</v>
      </c>
      <c r="C4049" t="s">
        <v>4456</v>
      </c>
    </row>
    <row r="4050" spans="1:3" x14ac:dyDescent="0.3">
      <c r="A4050" s="426">
        <v>44424</v>
      </c>
      <c r="B4050">
        <v>47198.22</v>
      </c>
      <c r="C4050" t="s">
        <v>4457</v>
      </c>
    </row>
    <row r="4051" spans="1:3" x14ac:dyDescent="0.3">
      <c r="A4051" s="426">
        <v>44425</v>
      </c>
      <c r="B4051">
        <v>46025.99</v>
      </c>
      <c r="C4051" t="s">
        <v>4458</v>
      </c>
    </row>
    <row r="4052" spans="1:3" x14ac:dyDescent="0.3">
      <c r="A4052" s="426">
        <v>44426</v>
      </c>
      <c r="B4052">
        <v>45097.919999999998</v>
      </c>
      <c r="C4052" t="s">
        <v>4459</v>
      </c>
    </row>
    <row r="4053" spans="1:3" x14ac:dyDescent="0.3">
      <c r="A4053" s="426">
        <v>44427</v>
      </c>
      <c r="B4053">
        <v>44986.12</v>
      </c>
      <c r="C4053" t="s">
        <v>4460</v>
      </c>
    </row>
    <row r="4054" spans="1:3" x14ac:dyDescent="0.3">
      <c r="A4054" s="426">
        <v>44428</v>
      </c>
      <c r="B4054">
        <v>47246.47</v>
      </c>
      <c r="C4054" t="s">
        <v>4461</v>
      </c>
    </row>
    <row r="4055" spans="1:3" x14ac:dyDescent="0.3">
      <c r="A4055" s="426">
        <v>44429</v>
      </c>
      <c r="B4055">
        <v>48954.8</v>
      </c>
      <c r="C4055" t="s">
        <v>4462</v>
      </c>
    </row>
    <row r="4056" spans="1:3" x14ac:dyDescent="0.3">
      <c r="A4056" s="426">
        <v>44430</v>
      </c>
      <c r="B4056">
        <v>48947.59</v>
      </c>
      <c r="C4056" t="s">
        <v>4463</v>
      </c>
    </row>
    <row r="4057" spans="1:3" x14ac:dyDescent="0.3">
      <c r="A4057" s="426">
        <v>44431</v>
      </c>
      <c r="B4057">
        <v>49979.66</v>
      </c>
      <c r="C4057" t="s">
        <v>4464</v>
      </c>
    </row>
    <row r="4058" spans="1:3" x14ac:dyDescent="0.3">
      <c r="A4058" s="426">
        <v>44432</v>
      </c>
      <c r="B4058">
        <v>49169.98</v>
      </c>
      <c r="C4058" t="s">
        <v>4465</v>
      </c>
    </row>
    <row r="4059" spans="1:3" x14ac:dyDescent="0.3">
      <c r="A4059" s="426">
        <v>44433</v>
      </c>
      <c r="B4059">
        <v>48239.3</v>
      </c>
      <c r="C4059" t="s">
        <v>4466</v>
      </c>
    </row>
    <row r="4060" spans="1:3" x14ac:dyDescent="0.3">
      <c r="A4060" s="426">
        <v>44434</v>
      </c>
      <c r="B4060">
        <v>47032.959999999999</v>
      </c>
      <c r="C4060" t="s">
        <v>4467</v>
      </c>
    </row>
    <row r="4061" spans="1:3" x14ac:dyDescent="0.3">
      <c r="A4061" s="426">
        <v>44435</v>
      </c>
      <c r="B4061">
        <v>47504.27</v>
      </c>
      <c r="C4061" t="s">
        <v>4468</v>
      </c>
    </row>
    <row r="4062" spans="1:3" x14ac:dyDescent="0.3">
      <c r="A4062" s="426">
        <v>44436</v>
      </c>
      <c r="B4062">
        <v>48943.87</v>
      </c>
      <c r="C4062" t="s">
        <v>4469</v>
      </c>
    </row>
    <row r="4063" spans="1:3" x14ac:dyDescent="0.3">
      <c r="A4063" s="426">
        <v>44437</v>
      </c>
      <c r="B4063">
        <v>48578.38</v>
      </c>
      <c r="C4063" t="s">
        <v>4470</v>
      </c>
    </row>
    <row r="4064" spans="1:3" x14ac:dyDescent="0.3">
      <c r="A4064" s="426">
        <v>44438</v>
      </c>
      <c r="B4064">
        <v>48027.91</v>
      </c>
      <c r="C4064" t="s">
        <v>4471</v>
      </c>
    </row>
    <row r="4065" spans="1:3" x14ac:dyDescent="0.3">
      <c r="A4065" s="426">
        <v>44439</v>
      </c>
      <c r="B4065">
        <v>47312.9</v>
      </c>
      <c r="C4065" t="s">
        <v>4472</v>
      </c>
    </row>
    <row r="4066" spans="1:3" x14ac:dyDescent="0.3">
      <c r="A4066" s="426">
        <v>44440</v>
      </c>
      <c r="B4066">
        <v>47579.31</v>
      </c>
      <c r="C4066" t="s">
        <v>4473</v>
      </c>
    </row>
    <row r="4067" spans="1:3" x14ac:dyDescent="0.3">
      <c r="A4067" s="426">
        <v>44441</v>
      </c>
      <c r="B4067">
        <v>49679.8</v>
      </c>
      <c r="C4067" t="s">
        <v>4474</v>
      </c>
    </row>
    <row r="4068" spans="1:3" x14ac:dyDescent="0.3">
      <c r="A4068" s="426">
        <v>44442</v>
      </c>
      <c r="B4068">
        <v>50030.879999999997</v>
      </c>
      <c r="C4068" t="s">
        <v>4475</v>
      </c>
    </row>
    <row r="4069" spans="1:3" x14ac:dyDescent="0.3">
      <c r="A4069" s="426">
        <v>44443</v>
      </c>
      <c r="B4069">
        <v>50100.5</v>
      </c>
      <c r="C4069" t="s">
        <v>4476</v>
      </c>
    </row>
    <row r="4070" spans="1:3" x14ac:dyDescent="0.3">
      <c r="A4070" s="426">
        <v>44444</v>
      </c>
      <c r="B4070">
        <v>50190.31</v>
      </c>
      <c r="C4070" t="s">
        <v>4477</v>
      </c>
    </row>
    <row r="4071" spans="1:3" x14ac:dyDescent="0.3">
      <c r="A4071" s="426">
        <v>44445</v>
      </c>
      <c r="B4071">
        <v>51738.57</v>
      </c>
      <c r="C4071" t="s">
        <v>4478</v>
      </c>
    </row>
    <row r="4072" spans="1:3" x14ac:dyDescent="0.3">
      <c r="A4072" s="426">
        <v>44446</v>
      </c>
      <c r="B4072">
        <v>51005.79</v>
      </c>
      <c r="C4072" t="s">
        <v>4479</v>
      </c>
    </row>
    <row r="4073" spans="1:3" x14ac:dyDescent="0.3">
      <c r="A4073" s="426">
        <v>44447</v>
      </c>
      <c r="B4073">
        <v>46302.26</v>
      </c>
      <c r="C4073" t="s">
        <v>4480</v>
      </c>
    </row>
    <row r="4074" spans="1:3" x14ac:dyDescent="0.3">
      <c r="A4074" s="426">
        <v>44448</v>
      </c>
      <c r="B4074">
        <v>46334.37</v>
      </c>
      <c r="C4074" t="s">
        <v>4481</v>
      </c>
    </row>
    <row r="4075" spans="1:3" x14ac:dyDescent="0.3">
      <c r="A4075" s="426">
        <v>44449</v>
      </c>
      <c r="B4075">
        <v>46112.08</v>
      </c>
      <c r="C4075" t="s">
        <v>4482</v>
      </c>
    </row>
    <row r="4076" spans="1:3" x14ac:dyDescent="0.3">
      <c r="A4076" s="426">
        <v>44450</v>
      </c>
      <c r="B4076">
        <v>45405</v>
      </c>
      <c r="C4076" t="s">
        <v>4483</v>
      </c>
    </row>
    <row r="4077" spans="1:3" x14ac:dyDescent="0.3">
      <c r="A4077" s="426">
        <v>44451</v>
      </c>
      <c r="B4077">
        <v>45889.16</v>
      </c>
      <c r="C4077" t="s">
        <v>4484</v>
      </c>
    </row>
    <row r="4078" spans="1:3" x14ac:dyDescent="0.3">
      <c r="A4078" s="426">
        <v>44452</v>
      </c>
      <c r="B4078">
        <v>44741.22</v>
      </c>
      <c r="C4078" t="s">
        <v>4485</v>
      </c>
    </row>
    <row r="4079" spans="1:3" x14ac:dyDescent="0.3">
      <c r="A4079" s="426">
        <v>44453</v>
      </c>
      <c r="B4079">
        <v>46065.3</v>
      </c>
      <c r="C4079" t="s">
        <v>4486</v>
      </c>
    </row>
    <row r="4080" spans="1:3" x14ac:dyDescent="0.3">
      <c r="A4080" s="426">
        <v>44454</v>
      </c>
      <c r="B4080">
        <v>47610.5</v>
      </c>
      <c r="C4080" t="s">
        <v>4487</v>
      </c>
    </row>
    <row r="4081" spans="1:3" x14ac:dyDescent="0.3">
      <c r="A4081" s="426">
        <v>44455</v>
      </c>
      <c r="B4081">
        <v>47949.78</v>
      </c>
      <c r="C4081" t="s">
        <v>4488</v>
      </c>
    </row>
    <row r="4082" spans="1:3" x14ac:dyDescent="0.3">
      <c r="A4082" s="426">
        <v>44456</v>
      </c>
      <c r="B4082">
        <v>47554.25</v>
      </c>
      <c r="C4082" t="s">
        <v>4489</v>
      </c>
    </row>
    <row r="4083" spans="1:3" x14ac:dyDescent="0.3">
      <c r="A4083" s="426">
        <v>44457</v>
      </c>
      <c r="B4083">
        <v>48341.17</v>
      </c>
      <c r="C4083" t="s">
        <v>4490</v>
      </c>
    </row>
    <row r="4084" spans="1:3" x14ac:dyDescent="0.3">
      <c r="A4084" s="426">
        <v>44458</v>
      </c>
      <c r="B4084">
        <v>47709.75</v>
      </c>
      <c r="C4084" t="s">
        <v>4491</v>
      </c>
    </row>
    <row r="4085" spans="1:3" x14ac:dyDescent="0.3">
      <c r="A4085" s="426">
        <v>44459</v>
      </c>
      <c r="B4085">
        <v>44075.8</v>
      </c>
      <c r="C4085" t="s">
        <v>4492</v>
      </c>
    </row>
    <row r="4086" spans="1:3" x14ac:dyDescent="0.3">
      <c r="A4086" s="426">
        <v>44460</v>
      </c>
      <c r="B4086">
        <v>42694.17</v>
      </c>
      <c r="C4086" t="s">
        <v>4493</v>
      </c>
    </row>
    <row r="4087" spans="1:3" x14ac:dyDescent="0.3">
      <c r="A4087" s="426">
        <v>44461</v>
      </c>
      <c r="B4087">
        <v>42347.75</v>
      </c>
      <c r="C4087" t="s">
        <v>4494</v>
      </c>
    </row>
    <row r="4088" spans="1:3" x14ac:dyDescent="0.3">
      <c r="A4088" s="426">
        <v>44462</v>
      </c>
      <c r="B4088">
        <v>44077.82</v>
      </c>
      <c r="C4088" t="s">
        <v>4495</v>
      </c>
    </row>
    <row r="4089" spans="1:3" x14ac:dyDescent="0.3">
      <c r="A4089" s="426">
        <v>44463</v>
      </c>
      <c r="B4089">
        <v>42879.39</v>
      </c>
      <c r="C4089" t="s">
        <v>4496</v>
      </c>
    </row>
    <row r="4090" spans="1:3" x14ac:dyDescent="0.3">
      <c r="A4090" s="426">
        <v>44464</v>
      </c>
      <c r="B4090">
        <v>42651.26</v>
      </c>
      <c r="C4090" t="s">
        <v>4497</v>
      </c>
    </row>
    <row r="4091" spans="1:3" x14ac:dyDescent="0.3">
      <c r="A4091" s="426">
        <v>44465</v>
      </c>
      <c r="B4091">
        <v>43201.36</v>
      </c>
      <c r="C4091" t="s">
        <v>4498</v>
      </c>
    </row>
    <row r="4092" spans="1:3" x14ac:dyDescent="0.3">
      <c r="A4092" s="426">
        <v>44466</v>
      </c>
      <c r="B4092">
        <v>43624.63</v>
      </c>
      <c r="C4092" t="s">
        <v>4499</v>
      </c>
    </row>
    <row r="4093" spans="1:3" x14ac:dyDescent="0.3">
      <c r="A4093" s="426">
        <v>44467</v>
      </c>
      <c r="B4093">
        <v>41846.46</v>
      </c>
      <c r="C4093" t="s">
        <v>4500</v>
      </c>
    </row>
    <row r="4094" spans="1:3" x14ac:dyDescent="0.3">
      <c r="A4094" s="426">
        <v>44468</v>
      </c>
      <c r="B4094">
        <v>42041.41</v>
      </c>
      <c r="C4094" t="s">
        <v>4501</v>
      </c>
    </row>
    <row r="4095" spans="1:3" x14ac:dyDescent="0.3">
      <c r="A4095" s="426">
        <v>44469</v>
      </c>
      <c r="B4095">
        <v>43329.17</v>
      </c>
      <c r="C4095" t="s">
        <v>4502</v>
      </c>
    </row>
    <row r="4096" spans="1:3" x14ac:dyDescent="0.3">
      <c r="A4096" s="426">
        <v>44470</v>
      </c>
      <c r="B4096">
        <v>47178.02</v>
      </c>
      <c r="C4096" t="s">
        <v>4503</v>
      </c>
    </row>
    <row r="4097" spans="1:3" x14ac:dyDescent="0.3">
      <c r="A4097" s="426">
        <v>44471</v>
      </c>
      <c r="B4097">
        <v>47773.58</v>
      </c>
      <c r="C4097" t="s">
        <v>4504</v>
      </c>
    </row>
    <row r="4098" spans="1:3" x14ac:dyDescent="0.3">
      <c r="A4098" s="426">
        <v>44472</v>
      </c>
      <c r="B4098">
        <v>47969.38</v>
      </c>
      <c r="C4098" t="s">
        <v>4505</v>
      </c>
    </row>
    <row r="4099" spans="1:3" x14ac:dyDescent="0.3">
      <c r="A4099" s="426">
        <v>44473</v>
      </c>
      <c r="B4099">
        <v>47810.82</v>
      </c>
      <c r="C4099" t="s">
        <v>4506</v>
      </c>
    </row>
    <row r="4100" spans="1:3" x14ac:dyDescent="0.3">
      <c r="A4100" s="426">
        <v>44474</v>
      </c>
      <c r="B4100">
        <v>49946.35</v>
      </c>
      <c r="C4100" t="s">
        <v>4507</v>
      </c>
    </row>
    <row r="4101" spans="1:3" x14ac:dyDescent="0.3">
      <c r="A4101" s="426">
        <v>44475</v>
      </c>
      <c r="B4101">
        <v>52290.89</v>
      </c>
      <c r="C4101" t="s">
        <v>4508</v>
      </c>
    </row>
    <row r="4102" spans="1:3" x14ac:dyDescent="0.3">
      <c r="A4102" s="426">
        <v>44476</v>
      </c>
      <c r="B4102">
        <v>54261.95</v>
      </c>
      <c r="C4102" t="s">
        <v>4509</v>
      </c>
    </row>
    <row r="4103" spans="1:3" x14ac:dyDescent="0.3">
      <c r="A4103" s="426">
        <v>44477</v>
      </c>
      <c r="B4103">
        <v>54308.12</v>
      </c>
      <c r="C4103" t="s">
        <v>4510</v>
      </c>
    </row>
    <row r="4104" spans="1:3" x14ac:dyDescent="0.3">
      <c r="A4104" s="426">
        <v>44478</v>
      </c>
      <c r="B4104">
        <v>54853.93</v>
      </c>
      <c r="C4104" t="s">
        <v>4511</v>
      </c>
    </row>
    <row r="4105" spans="1:3" x14ac:dyDescent="0.3">
      <c r="A4105" s="426">
        <v>44479</v>
      </c>
      <c r="B4105">
        <v>55136.32</v>
      </c>
      <c r="C4105" t="s">
        <v>4512</v>
      </c>
    </row>
    <row r="4106" spans="1:3" x14ac:dyDescent="0.3">
      <c r="A4106" s="426">
        <v>44480</v>
      </c>
      <c r="B4106">
        <v>56767.65</v>
      </c>
      <c r="C4106" t="s">
        <v>4513</v>
      </c>
    </row>
    <row r="4107" spans="1:3" x14ac:dyDescent="0.3">
      <c r="A4107" s="426">
        <v>44481</v>
      </c>
      <c r="B4107">
        <v>56908.34</v>
      </c>
      <c r="C4107" t="s">
        <v>4514</v>
      </c>
    </row>
    <row r="4108" spans="1:3" x14ac:dyDescent="0.3">
      <c r="A4108" s="426">
        <v>44482</v>
      </c>
      <c r="B4108">
        <v>56236.959999999999</v>
      </c>
      <c r="C4108" t="s">
        <v>4515</v>
      </c>
    </row>
    <row r="4109" spans="1:3" x14ac:dyDescent="0.3">
      <c r="A4109" s="426">
        <v>44483</v>
      </c>
      <c r="B4109">
        <v>57621.07</v>
      </c>
      <c r="C4109" t="s">
        <v>4516</v>
      </c>
    </row>
    <row r="4110" spans="1:3" x14ac:dyDescent="0.3">
      <c r="A4110" s="426">
        <v>44484</v>
      </c>
      <c r="B4110">
        <v>59654.34</v>
      </c>
      <c r="C4110" t="s">
        <v>4517</v>
      </c>
    </row>
    <row r="4111" spans="1:3" x14ac:dyDescent="0.3">
      <c r="A4111" s="426">
        <v>44485</v>
      </c>
      <c r="B4111">
        <v>61343.18</v>
      </c>
      <c r="C4111" t="s">
        <v>4518</v>
      </c>
    </row>
    <row r="4112" spans="1:3" x14ac:dyDescent="0.3">
      <c r="A4112" s="426">
        <v>44486</v>
      </c>
      <c r="B4112">
        <v>60937.05</v>
      </c>
      <c r="C4112" t="s">
        <v>4519</v>
      </c>
    </row>
    <row r="4113" spans="1:3" x14ac:dyDescent="0.3">
      <c r="A4113" s="426">
        <v>44487</v>
      </c>
      <c r="B4113">
        <v>61940.65</v>
      </c>
      <c r="C4113" t="s">
        <v>4520</v>
      </c>
    </row>
    <row r="4114" spans="1:3" x14ac:dyDescent="0.3">
      <c r="A4114" s="426">
        <v>44488</v>
      </c>
      <c r="B4114">
        <v>62453.91</v>
      </c>
      <c r="C4114" t="s">
        <v>4521</v>
      </c>
    </row>
    <row r="4115" spans="1:3" x14ac:dyDescent="0.3">
      <c r="A4115" s="426">
        <v>44489</v>
      </c>
      <c r="B4115">
        <v>64195.07</v>
      </c>
      <c r="C4115" t="s">
        <v>4522</v>
      </c>
    </row>
    <row r="4116" spans="1:3" x14ac:dyDescent="0.3">
      <c r="A4116" s="426">
        <v>44490</v>
      </c>
      <c r="B4116">
        <v>64664.17</v>
      </c>
      <c r="C4116" t="s">
        <v>4523</v>
      </c>
    </row>
    <row r="4117" spans="1:3" x14ac:dyDescent="0.3">
      <c r="A4117" s="426">
        <v>44491</v>
      </c>
      <c r="B4117">
        <v>62711.56</v>
      </c>
      <c r="C4117" t="s">
        <v>4524</v>
      </c>
    </row>
    <row r="4118" spans="1:3" x14ac:dyDescent="0.3">
      <c r="A4118" s="426">
        <v>44492</v>
      </c>
      <c r="B4118">
        <v>61099.21</v>
      </c>
      <c r="C4118" t="s">
        <v>4525</v>
      </c>
    </row>
    <row r="4119" spans="1:3" x14ac:dyDescent="0.3">
      <c r="A4119" s="426">
        <v>44493</v>
      </c>
      <c r="B4119">
        <v>60831.58</v>
      </c>
      <c r="C4119" t="s">
        <v>4526</v>
      </c>
    </row>
    <row r="4120" spans="1:3" x14ac:dyDescent="0.3">
      <c r="A4120" s="426">
        <v>44494</v>
      </c>
      <c r="B4120">
        <v>62726.17</v>
      </c>
      <c r="C4120" t="s">
        <v>4527</v>
      </c>
    </row>
    <row r="4121" spans="1:3" x14ac:dyDescent="0.3">
      <c r="A4121" s="426">
        <v>44496</v>
      </c>
      <c r="B4121">
        <v>58904.78</v>
      </c>
      <c r="C4121" t="s">
        <v>579</v>
      </c>
    </row>
    <row r="4122" spans="1:3" x14ac:dyDescent="0.3">
      <c r="A4122" s="426">
        <v>44497</v>
      </c>
      <c r="B4122">
        <v>60727.69</v>
      </c>
      <c r="C4122" t="s">
        <v>579</v>
      </c>
    </row>
    <row r="4123" spans="1:3" x14ac:dyDescent="0.3">
      <c r="A4123" s="426">
        <v>44498</v>
      </c>
      <c r="B4123">
        <v>61550.92</v>
      </c>
      <c r="C4123" t="s">
        <v>579</v>
      </c>
    </row>
    <row r="4124" spans="1:3" x14ac:dyDescent="0.3">
      <c r="A4124" s="426">
        <v>44499</v>
      </c>
      <c r="B4124">
        <v>61609.32</v>
      </c>
      <c r="C4124" t="s">
        <v>579</v>
      </c>
    </row>
    <row r="4125" spans="1:3" x14ac:dyDescent="0.3">
      <c r="A4125" s="426">
        <v>44500</v>
      </c>
      <c r="B4125">
        <v>61032.36</v>
      </c>
      <c r="C4125" t="s">
        <v>579</v>
      </c>
    </row>
    <row r="4126" spans="1:3" x14ac:dyDescent="0.3">
      <c r="A4126" s="426">
        <v>44501</v>
      </c>
      <c r="B4126">
        <v>61263.73</v>
      </c>
      <c r="C4126" t="s">
        <v>579</v>
      </c>
    </row>
    <row r="4127" spans="1:3" x14ac:dyDescent="0.3">
      <c r="A4127" s="426">
        <v>44502</v>
      </c>
      <c r="B4127">
        <v>63079.83</v>
      </c>
      <c r="C4127" t="s">
        <v>579</v>
      </c>
    </row>
    <row r="4128" spans="1:3" x14ac:dyDescent="0.3">
      <c r="A4128" s="426">
        <v>44503</v>
      </c>
      <c r="B4128">
        <v>62990.39</v>
      </c>
      <c r="C4128" t="s">
        <v>579</v>
      </c>
    </row>
    <row r="4129" spans="1:3" x14ac:dyDescent="0.3">
      <c r="A4129" s="426">
        <v>44504</v>
      </c>
      <c r="B4129">
        <v>61832.63</v>
      </c>
      <c r="C4129" t="s">
        <v>579</v>
      </c>
    </row>
    <row r="4130" spans="1:3" x14ac:dyDescent="0.3">
      <c r="A4130" s="426">
        <v>44505</v>
      </c>
      <c r="B4130">
        <v>61549.98</v>
      </c>
      <c r="C4130" t="s">
        <v>579</v>
      </c>
    </row>
    <row r="4131" spans="1:3" x14ac:dyDescent="0.3">
      <c r="A4131" s="426">
        <v>44506</v>
      </c>
      <c r="B4131">
        <v>61049.75</v>
      </c>
      <c r="C4131" t="s">
        <v>579</v>
      </c>
    </row>
    <row r="4132" spans="1:3" x14ac:dyDescent="0.3">
      <c r="A4132" s="426">
        <v>44507</v>
      </c>
      <c r="B4132">
        <v>62053.81</v>
      </c>
      <c r="C4132" t="s">
        <v>579</v>
      </c>
    </row>
    <row r="4133" spans="1:3" x14ac:dyDescent="0.3">
      <c r="A4133" s="426">
        <v>44508</v>
      </c>
      <c r="B4133">
        <v>65948.62</v>
      </c>
      <c r="C4133" t="s">
        <v>579</v>
      </c>
    </row>
    <row r="4134" spans="1:3" x14ac:dyDescent="0.3">
      <c r="A4134" s="426">
        <v>44509</v>
      </c>
      <c r="B4134">
        <v>67620.179999999993</v>
      </c>
      <c r="C4134" t="s">
        <v>579</v>
      </c>
    </row>
    <row r="4135" spans="1:3" x14ac:dyDescent="0.3">
      <c r="A4135" s="426">
        <v>44510</v>
      </c>
      <c r="B4135">
        <v>66775.62</v>
      </c>
      <c r="C4135" t="s">
        <v>579</v>
      </c>
    </row>
    <row r="4136" spans="1:3" x14ac:dyDescent="0.3">
      <c r="A4136" s="426">
        <v>44511</v>
      </c>
      <c r="B4136">
        <v>64963.42</v>
      </c>
      <c r="C4136" t="s">
        <v>579</v>
      </c>
    </row>
    <row r="4137" spans="1:3" x14ac:dyDescent="0.3">
      <c r="A4137" s="426">
        <v>44512</v>
      </c>
      <c r="B4137">
        <v>64079.33</v>
      </c>
      <c r="C4137" t="s">
        <v>579</v>
      </c>
    </row>
    <row r="4138" spans="1:3" x14ac:dyDescent="0.3">
      <c r="A4138" s="426">
        <v>44513</v>
      </c>
      <c r="B4138">
        <v>64002.13</v>
      </c>
      <c r="C4138" t="s">
        <v>579</v>
      </c>
    </row>
    <row r="4139" spans="1:3" x14ac:dyDescent="0.3">
      <c r="A4139" s="426">
        <v>44514</v>
      </c>
      <c r="B4139">
        <v>64459.05</v>
      </c>
      <c r="C4139" t="s">
        <v>579</v>
      </c>
    </row>
    <row r="4140" spans="1:3" x14ac:dyDescent="0.3">
      <c r="A4140" s="426">
        <v>44515</v>
      </c>
      <c r="B4140">
        <v>65646.05</v>
      </c>
      <c r="C4140" t="s">
        <v>579</v>
      </c>
    </row>
    <row r="4141" spans="1:3" x14ac:dyDescent="0.3">
      <c r="A4141" s="426">
        <v>44516</v>
      </c>
      <c r="B4141">
        <v>60629.14</v>
      </c>
      <c r="C4141" t="s">
        <v>579</v>
      </c>
    </row>
    <row r="4142" spans="1:3" x14ac:dyDescent="0.3">
      <c r="A4142" s="426">
        <v>44517</v>
      </c>
      <c r="B4142">
        <v>60077.78</v>
      </c>
      <c r="C4142" t="s">
        <v>579</v>
      </c>
    </row>
    <row r="4143" spans="1:3" x14ac:dyDescent="0.3">
      <c r="A4143" s="426">
        <v>44518</v>
      </c>
      <c r="B4143">
        <v>59293.7</v>
      </c>
      <c r="C4143" t="s">
        <v>579</v>
      </c>
    </row>
    <row r="4144" spans="1:3" x14ac:dyDescent="0.3">
      <c r="A4144" s="426">
        <v>44519</v>
      </c>
      <c r="B4144">
        <v>57368.93</v>
      </c>
      <c r="C4144" t="s">
        <v>579</v>
      </c>
    </row>
    <row r="4145" spans="1:3" x14ac:dyDescent="0.3">
      <c r="A4145" s="426">
        <v>44520</v>
      </c>
      <c r="B4145">
        <v>58592.18</v>
      </c>
      <c r="C4145" t="s">
        <v>579</v>
      </c>
    </row>
    <row r="4146" spans="1:3" x14ac:dyDescent="0.3">
      <c r="A4146" s="426">
        <v>44521</v>
      </c>
      <c r="B4146">
        <v>59163.88</v>
      </c>
      <c r="C4146" t="s">
        <v>579</v>
      </c>
    </row>
    <row r="4147" spans="1:3" x14ac:dyDescent="0.3">
      <c r="A4147" s="426">
        <v>44522</v>
      </c>
      <c r="B4147">
        <v>57368.66</v>
      </c>
      <c r="C4147" t="s">
        <v>579</v>
      </c>
    </row>
    <row r="4148" spans="1:3" x14ac:dyDescent="0.3">
      <c r="A4148" s="426">
        <v>44523</v>
      </c>
      <c r="B4148">
        <v>56982.6</v>
      </c>
      <c r="C4148" t="s">
        <v>579</v>
      </c>
    </row>
    <row r="4149" spans="1:3" x14ac:dyDescent="0.3">
      <c r="A4149" s="426">
        <v>44524</v>
      </c>
      <c r="B4149">
        <v>56693.67</v>
      </c>
      <c r="C4149" t="s">
        <v>579</v>
      </c>
    </row>
    <row r="4150" spans="1:3" x14ac:dyDescent="0.3">
      <c r="A4150" s="426">
        <v>44525</v>
      </c>
      <c r="B4150">
        <v>58304.26</v>
      </c>
      <c r="C4150" t="s">
        <v>579</v>
      </c>
    </row>
    <row r="4151" spans="1:3" x14ac:dyDescent="0.3">
      <c r="A4151" s="426">
        <v>44526</v>
      </c>
      <c r="B4151">
        <v>54696.5</v>
      </c>
      <c r="C4151" t="s">
        <v>579</v>
      </c>
    </row>
    <row r="4152" spans="1:3" x14ac:dyDescent="0.3">
      <c r="A4152" s="426">
        <v>44527</v>
      </c>
      <c r="B4152">
        <v>54775.41</v>
      </c>
      <c r="C4152" t="s">
        <v>579</v>
      </c>
    </row>
    <row r="4153" spans="1:3" x14ac:dyDescent="0.3">
      <c r="A4153" s="426">
        <v>44528</v>
      </c>
      <c r="B4153">
        <v>54417.71</v>
      </c>
      <c r="C4153" t="s">
        <v>579</v>
      </c>
    </row>
    <row r="4154" spans="1:3" x14ac:dyDescent="0.3">
      <c r="A4154" s="426">
        <v>44529</v>
      </c>
      <c r="B4154">
        <v>57408.03</v>
      </c>
      <c r="C4154" t="s">
        <v>579</v>
      </c>
    </row>
    <row r="4155" spans="1:3" x14ac:dyDescent="0.3">
      <c r="A4155" s="426">
        <v>44530</v>
      </c>
      <c r="B4155">
        <v>57330.89</v>
      </c>
      <c r="C4155" t="s">
        <v>579</v>
      </c>
    </row>
    <row r="4156" spans="1:3" x14ac:dyDescent="0.3">
      <c r="A4156" s="426">
        <v>44531</v>
      </c>
      <c r="B4156">
        <v>57192.84</v>
      </c>
      <c r="C4156" t="s">
        <v>579</v>
      </c>
    </row>
    <row r="4157" spans="1:3" x14ac:dyDescent="0.3">
      <c r="A4157" s="426">
        <v>44532</v>
      </c>
      <c r="B4157">
        <v>56719.03</v>
      </c>
      <c r="C4157" t="s">
        <v>579</v>
      </c>
    </row>
    <row r="4158" spans="1:3" x14ac:dyDescent="0.3">
      <c r="A4158" s="426">
        <v>44533</v>
      </c>
      <c r="B4158">
        <v>56540.57</v>
      </c>
      <c r="C4158" t="s">
        <v>579</v>
      </c>
    </row>
    <row r="4159" spans="1:3" x14ac:dyDescent="0.3">
      <c r="A4159" s="426">
        <v>44534</v>
      </c>
      <c r="B4159">
        <v>48337.18</v>
      </c>
      <c r="C4159" t="s">
        <v>579</v>
      </c>
    </row>
    <row r="4160" spans="1:3" x14ac:dyDescent="0.3">
      <c r="A4160" s="426">
        <v>44535</v>
      </c>
      <c r="B4160">
        <v>49237.17</v>
      </c>
      <c r="C4160" t="s">
        <v>579</v>
      </c>
    </row>
    <row r="4161" spans="1:3" x14ac:dyDescent="0.3">
      <c r="A4161" s="426">
        <v>44536</v>
      </c>
      <c r="B4161">
        <v>48901.59</v>
      </c>
      <c r="C4161" t="s">
        <v>579</v>
      </c>
    </row>
    <row r="4162" spans="1:3" x14ac:dyDescent="0.3">
      <c r="A4162" s="426">
        <v>44537</v>
      </c>
      <c r="B4162">
        <v>51032.89</v>
      </c>
      <c r="C4162" t="s">
        <v>579</v>
      </c>
    </row>
    <row r="4163" spans="1:3" x14ac:dyDescent="0.3">
      <c r="A4163" s="426">
        <v>44538</v>
      </c>
      <c r="B4163">
        <v>50475.33</v>
      </c>
      <c r="C4163" t="s">
        <v>579</v>
      </c>
    </row>
    <row r="4164" spans="1:3" x14ac:dyDescent="0.3">
      <c r="A4164" s="426">
        <v>44539</v>
      </c>
      <c r="B4164">
        <v>49252.41</v>
      </c>
      <c r="C4164" t="s">
        <v>579</v>
      </c>
    </row>
    <row r="4165" spans="1:3" x14ac:dyDescent="0.3">
      <c r="A4165" s="426">
        <v>44540</v>
      </c>
      <c r="B4165">
        <v>48236.93</v>
      </c>
      <c r="C4165" t="s">
        <v>579</v>
      </c>
    </row>
    <row r="4166" spans="1:3" x14ac:dyDescent="0.3">
      <c r="A4166" s="426">
        <v>44541</v>
      </c>
      <c r="B4166">
        <v>48497.61</v>
      </c>
      <c r="C4166" t="s">
        <v>579</v>
      </c>
    </row>
    <row r="4167" spans="1:3" x14ac:dyDescent="0.3">
      <c r="A4167" s="426">
        <v>44542</v>
      </c>
      <c r="B4167">
        <v>49521.78</v>
      </c>
      <c r="C4167" t="s">
        <v>579</v>
      </c>
    </row>
    <row r="4168" spans="1:3" x14ac:dyDescent="0.3">
      <c r="A4168" s="426">
        <v>44543</v>
      </c>
      <c r="B4168">
        <v>48743.88</v>
      </c>
      <c r="C4168" t="s">
        <v>579</v>
      </c>
    </row>
    <row r="4169" spans="1:3" x14ac:dyDescent="0.3">
      <c r="A4169" s="426">
        <v>44544</v>
      </c>
      <c r="B4169">
        <v>47026.91</v>
      </c>
      <c r="C4169" t="s">
        <v>579</v>
      </c>
    </row>
    <row r="4170" spans="1:3" x14ac:dyDescent="0.3">
      <c r="A4170" s="426">
        <v>44545</v>
      </c>
      <c r="B4170">
        <v>48190.79</v>
      </c>
      <c r="C4170" t="s">
        <v>579</v>
      </c>
    </row>
    <row r="4171" spans="1:3" x14ac:dyDescent="0.3">
      <c r="A4171" s="426">
        <v>44546</v>
      </c>
      <c r="B4171">
        <v>48757.98</v>
      </c>
      <c r="C4171" t="s">
        <v>579</v>
      </c>
    </row>
    <row r="4172" spans="1:3" x14ac:dyDescent="0.3">
      <c r="A4172" s="426">
        <v>44547</v>
      </c>
      <c r="B4172">
        <v>47062.97</v>
      </c>
      <c r="C4172" t="s">
        <v>579</v>
      </c>
    </row>
    <row r="4173" spans="1:3" x14ac:dyDescent="0.3">
      <c r="A4173" s="426">
        <v>44548</v>
      </c>
      <c r="B4173">
        <v>46755.76</v>
      </c>
      <c r="C4173" t="s">
        <v>579</v>
      </c>
    </row>
    <row r="4174" spans="1:3" x14ac:dyDescent="0.3">
      <c r="A4174" s="426">
        <v>44549</v>
      </c>
      <c r="B4174">
        <v>47173.81</v>
      </c>
      <c r="C4174" t="s">
        <v>579</v>
      </c>
    </row>
    <row r="4175" spans="1:3" x14ac:dyDescent="0.3">
      <c r="A4175" s="426">
        <v>44550</v>
      </c>
      <c r="B4175">
        <v>46465.99</v>
      </c>
      <c r="C4175" t="s">
        <v>579</v>
      </c>
    </row>
    <row r="4176" spans="1:3" x14ac:dyDescent="0.3">
      <c r="A4176" s="426">
        <v>44551</v>
      </c>
      <c r="B4176">
        <v>48629.24</v>
      </c>
      <c r="C4176" t="s">
        <v>579</v>
      </c>
    </row>
    <row r="4177" spans="1:3" x14ac:dyDescent="0.3">
      <c r="A4177" s="426">
        <v>44552</v>
      </c>
      <c r="B4177">
        <v>48989.45</v>
      </c>
      <c r="C4177" t="s">
        <v>579</v>
      </c>
    </row>
    <row r="4178" spans="1:3" x14ac:dyDescent="0.3">
      <c r="A4178" s="426">
        <v>44553</v>
      </c>
      <c r="B4178">
        <v>48584.69</v>
      </c>
      <c r="C4178" t="s">
        <v>579</v>
      </c>
    </row>
    <row r="4179" spans="1:3" x14ac:dyDescent="0.3">
      <c r="A4179" s="426">
        <v>44554</v>
      </c>
      <c r="B4179">
        <v>51074.9</v>
      </c>
      <c r="C4179" t="s">
        <v>579</v>
      </c>
    </row>
    <row r="4180" spans="1:3" x14ac:dyDescent="0.3">
      <c r="A4180" s="426">
        <v>44555</v>
      </c>
      <c r="B4180">
        <v>50913.18</v>
      </c>
      <c r="C4180" t="s">
        <v>579</v>
      </c>
    </row>
    <row r="4181" spans="1:3" x14ac:dyDescent="0.3">
      <c r="A4181" s="426">
        <v>44556</v>
      </c>
      <c r="B4181">
        <v>50105.53</v>
      </c>
      <c r="C4181" t="s">
        <v>579</v>
      </c>
    </row>
    <row r="4182" spans="1:3" x14ac:dyDescent="0.3">
      <c r="A4182" s="426">
        <v>44557</v>
      </c>
      <c r="B4182">
        <v>50975.97</v>
      </c>
      <c r="C4182" t="s">
        <v>579</v>
      </c>
    </row>
    <row r="4183" spans="1:3" x14ac:dyDescent="0.3">
      <c r="A4183" s="426">
        <v>44558</v>
      </c>
      <c r="B4183">
        <v>49124.39</v>
      </c>
      <c r="C4183" t="s">
        <v>579</v>
      </c>
    </row>
    <row r="4184" spans="1:3" x14ac:dyDescent="0.3">
      <c r="A4184" s="426">
        <v>44559</v>
      </c>
      <c r="B4184">
        <v>47714.12</v>
      </c>
      <c r="C4184" t="s">
        <v>579</v>
      </c>
    </row>
    <row r="4185" spans="1:3" x14ac:dyDescent="0.3">
      <c r="A4185" s="426">
        <v>44560</v>
      </c>
      <c r="B4185">
        <v>47135.25</v>
      </c>
      <c r="C4185" t="s">
        <v>579</v>
      </c>
    </row>
    <row r="4186" spans="1:3" x14ac:dyDescent="0.3">
      <c r="A4186" s="426">
        <v>44561</v>
      </c>
      <c r="B4186">
        <v>47241.64</v>
      </c>
      <c r="C4186" t="s">
        <v>579</v>
      </c>
    </row>
    <row r="4187" spans="1:3" x14ac:dyDescent="0.3">
      <c r="A4187" s="426">
        <v>44562</v>
      </c>
      <c r="B4187">
        <v>47089.64</v>
      </c>
      <c r="C4187" t="s">
        <v>579</v>
      </c>
    </row>
    <row r="4188" spans="1:3" x14ac:dyDescent="0.3">
      <c r="A4188" s="426">
        <v>44563</v>
      </c>
      <c r="B4188">
        <v>47261.34</v>
      </c>
      <c r="C4188" t="s">
        <v>579</v>
      </c>
    </row>
    <row r="4189" spans="1:3" x14ac:dyDescent="0.3">
      <c r="A4189" s="426">
        <v>44564</v>
      </c>
      <c r="B4189">
        <v>46963.35</v>
      </c>
      <c r="C4189" t="s">
        <v>579</v>
      </c>
    </row>
    <row r="4190" spans="1:3" x14ac:dyDescent="0.3">
      <c r="A4190" s="426">
        <v>44565</v>
      </c>
      <c r="B4190">
        <v>46366.28</v>
      </c>
      <c r="C4190" t="s">
        <v>579</v>
      </c>
    </row>
    <row r="4191" spans="1:3" x14ac:dyDescent="0.3">
      <c r="A4191" s="426">
        <v>44566</v>
      </c>
      <c r="B4191">
        <v>46343.95</v>
      </c>
      <c r="C4191" t="s">
        <v>579</v>
      </c>
    </row>
    <row r="4192" spans="1:3" x14ac:dyDescent="0.3">
      <c r="A4192" s="426">
        <v>44567</v>
      </c>
      <c r="B4192">
        <v>43133.09</v>
      </c>
      <c r="C4192" t="s">
        <v>579</v>
      </c>
    </row>
    <row r="4193" spans="1:3" x14ac:dyDescent="0.3">
      <c r="A4193" s="426">
        <v>44568</v>
      </c>
      <c r="B4193">
        <v>41929.620000000003</v>
      </c>
      <c r="C4193" t="s">
        <v>579</v>
      </c>
    </row>
    <row r="4194" spans="1:3" x14ac:dyDescent="0.3">
      <c r="A4194" s="426">
        <v>44569</v>
      </c>
      <c r="B4194">
        <v>41890.050000000003</v>
      </c>
      <c r="C4194" t="s">
        <v>579</v>
      </c>
    </row>
    <row r="4195" spans="1:3" x14ac:dyDescent="0.3">
      <c r="A4195" s="426">
        <v>44570</v>
      </c>
      <c r="B4195">
        <v>41867.67</v>
      </c>
      <c r="C4195" t="s">
        <v>579</v>
      </c>
    </row>
    <row r="4196" spans="1:3" x14ac:dyDescent="0.3">
      <c r="A4196" s="426">
        <v>44571</v>
      </c>
      <c r="B4196">
        <v>41776.230000000003</v>
      </c>
      <c r="C4196" t="s">
        <v>579</v>
      </c>
    </row>
    <row r="4197" spans="1:3" x14ac:dyDescent="0.3">
      <c r="A4197" s="426">
        <v>44572</v>
      </c>
      <c r="B4197">
        <v>42156.89</v>
      </c>
      <c r="C4197" t="s">
        <v>579</v>
      </c>
    </row>
    <row r="4198" spans="1:3" x14ac:dyDescent="0.3">
      <c r="A4198" s="426">
        <v>44573</v>
      </c>
      <c r="B4198">
        <v>43081.55</v>
      </c>
      <c r="C4198" t="s">
        <v>579</v>
      </c>
    </row>
    <row r="4199" spans="1:3" x14ac:dyDescent="0.3">
      <c r="A4199" s="426">
        <v>44574</v>
      </c>
      <c r="B4199">
        <v>43657.75</v>
      </c>
      <c r="C4199" t="s">
        <v>579</v>
      </c>
    </row>
    <row r="4200" spans="1:3" x14ac:dyDescent="0.3">
      <c r="A4200" s="426">
        <v>44575</v>
      </c>
      <c r="B4200">
        <v>42839.99</v>
      </c>
      <c r="C4200" t="s">
        <v>579</v>
      </c>
    </row>
    <row r="4201" spans="1:3" x14ac:dyDescent="0.3">
      <c r="A4201" s="426">
        <v>44576</v>
      </c>
      <c r="B4201">
        <v>43072.01</v>
      </c>
      <c r="C4201" t="s">
        <v>579</v>
      </c>
    </row>
    <row r="4202" spans="1:3" x14ac:dyDescent="0.3">
      <c r="A4202" s="426">
        <v>44577</v>
      </c>
      <c r="B4202">
        <v>43101.87</v>
      </c>
      <c r="C4202" t="s">
        <v>579</v>
      </c>
    </row>
    <row r="4203" spans="1:3" x14ac:dyDescent="0.3">
      <c r="A4203" s="426">
        <v>44578</v>
      </c>
      <c r="B4203">
        <v>42682.96</v>
      </c>
      <c r="C4203" t="s">
        <v>579</v>
      </c>
    </row>
    <row r="4204" spans="1:3" x14ac:dyDescent="0.3">
      <c r="A4204" s="426">
        <v>44579</v>
      </c>
      <c r="B4204">
        <v>41951.19</v>
      </c>
      <c r="C4204" t="s">
        <v>579</v>
      </c>
    </row>
    <row r="4205" spans="1:3" x14ac:dyDescent="0.3">
      <c r="A4205" s="426">
        <v>44580</v>
      </c>
      <c r="B4205">
        <v>41906.959999999999</v>
      </c>
      <c r="C4205" t="s">
        <v>579</v>
      </c>
    </row>
    <row r="4206" spans="1:3" x14ac:dyDescent="0.3">
      <c r="A4206" s="426">
        <v>44581</v>
      </c>
      <c r="B4206">
        <v>42042.28</v>
      </c>
      <c r="C4206" t="s">
        <v>579</v>
      </c>
    </row>
    <row r="4207" spans="1:3" x14ac:dyDescent="0.3">
      <c r="A4207" s="426">
        <v>44582</v>
      </c>
      <c r="B4207">
        <v>38820.25</v>
      </c>
      <c r="C4207" t="s">
        <v>579</v>
      </c>
    </row>
    <row r="4208" spans="1:3" x14ac:dyDescent="0.3">
      <c r="A4208" s="426">
        <v>44583</v>
      </c>
      <c r="B4208">
        <v>35514.35</v>
      </c>
      <c r="C4208" t="s">
        <v>579</v>
      </c>
    </row>
    <row r="4209" spans="1:3" x14ac:dyDescent="0.3">
      <c r="A4209" s="426">
        <v>44584</v>
      </c>
      <c r="B4209">
        <v>35373.42</v>
      </c>
      <c r="C4209" t="s">
        <v>579</v>
      </c>
    </row>
    <row r="4210" spans="1:3" x14ac:dyDescent="0.3">
      <c r="A4210" s="426">
        <v>44585</v>
      </c>
      <c r="B4210">
        <v>35279.39</v>
      </c>
      <c r="C4210" t="s">
        <v>579</v>
      </c>
    </row>
    <row r="4211" spans="1:3" x14ac:dyDescent="0.3">
      <c r="A4211" s="426">
        <v>44586</v>
      </c>
      <c r="B4211">
        <v>36461.89</v>
      </c>
      <c r="C4211" t="s">
        <v>579</v>
      </c>
    </row>
    <row r="4212" spans="1:3" x14ac:dyDescent="0.3">
      <c r="A4212" s="426">
        <v>44587</v>
      </c>
      <c r="B4212">
        <v>37699.82</v>
      </c>
      <c r="C4212" t="s">
        <v>579</v>
      </c>
    </row>
    <row r="4213" spans="1:3" x14ac:dyDescent="0.3">
      <c r="A4213" s="426">
        <v>44588</v>
      </c>
      <c r="B4213">
        <v>36403.870000000003</v>
      </c>
      <c r="C4213" t="s">
        <v>579</v>
      </c>
    </row>
    <row r="4214" spans="1:3" x14ac:dyDescent="0.3">
      <c r="A4214" s="426">
        <v>44589</v>
      </c>
      <c r="B4214">
        <v>37057</v>
      </c>
      <c r="C4214" t="s">
        <v>579</v>
      </c>
    </row>
    <row r="4215" spans="1:3" x14ac:dyDescent="0.3">
      <c r="A4215" s="426">
        <v>44590</v>
      </c>
      <c r="B4215">
        <v>37765.050000000003</v>
      </c>
      <c r="C4215" t="s">
        <v>579</v>
      </c>
    </row>
    <row r="4216" spans="1:3" x14ac:dyDescent="0.3">
      <c r="A4216" s="426">
        <v>44591</v>
      </c>
      <c r="B4216">
        <v>37978.74</v>
      </c>
      <c r="C4216" t="s">
        <v>579</v>
      </c>
    </row>
    <row r="4217" spans="1:3" x14ac:dyDescent="0.3">
      <c r="A4217" s="426">
        <v>44592</v>
      </c>
      <c r="B4217">
        <v>37264.92</v>
      </c>
      <c r="C4217" t="s">
        <v>579</v>
      </c>
    </row>
    <row r="4218" spans="1:3" x14ac:dyDescent="0.3">
      <c r="A4218" s="426">
        <v>44593</v>
      </c>
      <c r="B4218">
        <v>38563.93</v>
      </c>
      <c r="C4218" t="s">
        <v>579</v>
      </c>
    </row>
    <row r="4219" spans="1:3" x14ac:dyDescent="0.3">
      <c r="A4219" s="426">
        <v>44594</v>
      </c>
      <c r="B4219">
        <v>38415.83</v>
      </c>
      <c r="C4219" t="s">
        <v>579</v>
      </c>
    </row>
    <row r="4220" spans="1:3" x14ac:dyDescent="0.3">
      <c r="A4220" s="426">
        <v>44595</v>
      </c>
      <c r="B4220">
        <v>36915.22</v>
      </c>
      <c r="C4220" t="s">
        <v>579</v>
      </c>
    </row>
    <row r="4221" spans="1:3" x14ac:dyDescent="0.3">
      <c r="A4221" s="426">
        <v>44596</v>
      </c>
      <c r="B4221">
        <v>37966.26</v>
      </c>
      <c r="C4221" t="s">
        <v>579</v>
      </c>
    </row>
    <row r="4222" spans="1:3" x14ac:dyDescent="0.3">
      <c r="A4222" s="426">
        <v>44597</v>
      </c>
      <c r="B4222">
        <v>41510.67</v>
      </c>
      <c r="C4222" t="s">
        <v>579</v>
      </c>
    </row>
    <row r="4223" spans="1:3" x14ac:dyDescent="0.3">
      <c r="A4223" s="426">
        <v>44598</v>
      </c>
      <c r="B4223">
        <v>41589.300000000003</v>
      </c>
      <c r="C4223" t="s">
        <v>579</v>
      </c>
    </row>
    <row r="4224" spans="1:3" x14ac:dyDescent="0.3">
      <c r="A4224" s="426">
        <v>44599</v>
      </c>
      <c r="B4224">
        <v>42814.22</v>
      </c>
      <c r="C4224" t="s">
        <v>579</v>
      </c>
    </row>
    <row r="4225" spans="1:3" x14ac:dyDescent="0.3">
      <c r="A4225" s="426">
        <v>44600</v>
      </c>
      <c r="B4225">
        <v>43927.48</v>
      </c>
      <c r="C4225" t="s">
        <v>579</v>
      </c>
    </row>
    <row r="4226" spans="1:3" x14ac:dyDescent="0.3">
      <c r="A4226" s="426">
        <v>44601</v>
      </c>
      <c r="B4226">
        <v>43985.68</v>
      </c>
      <c r="C4226" t="s">
        <v>579</v>
      </c>
    </row>
    <row r="4227" spans="1:3" x14ac:dyDescent="0.3">
      <c r="A4227" s="426">
        <v>44602</v>
      </c>
      <c r="B4227">
        <v>44226.17</v>
      </c>
      <c r="C4227" t="s">
        <v>579</v>
      </c>
    </row>
    <row r="4228" spans="1:3" x14ac:dyDescent="0.3">
      <c r="A4228" s="426">
        <v>44603</v>
      </c>
      <c r="B4228">
        <v>43376.01</v>
      </c>
      <c r="C4228" t="s">
        <v>579</v>
      </c>
    </row>
    <row r="4229" spans="1:3" x14ac:dyDescent="0.3">
      <c r="A4229" s="426">
        <v>44604</v>
      </c>
      <c r="B4229">
        <v>42339.22</v>
      </c>
      <c r="C4229" t="s">
        <v>579</v>
      </c>
    </row>
    <row r="4230" spans="1:3" x14ac:dyDescent="0.3">
      <c r="A4230" s="426">
        <v>44605</v>
      </c>
      <c r="B4230">
        <v>42325.1</v>
      </c>
      <c r="C4230" t="s">
        <v>579</v>
      </c>
    </row>
    <row r="4231" spans="1:3" x14ac:dyDescent="0.3">
      <c r="A4231" s="426">
        <v>44606</v>
      </c>
      <c r="B4231">
        <v>42183.59</v>
      </c>
      <c r="C4231" t="s">
        <v>579</v>
      </c>
    </row>
    <row r="4232" spans="1:3" x14ac:dyDescent="0.3">
      <c r="A4232" s="426">
        <v>44607</v>
      </c>
      <c r="B4232">
        <v>44046.69</v>
      </c>
      <c r="C4232" t="s">
        <v>579</v>
      </c>
    </row>
    <row r="4233" spans="1:3" x14ac:dyDescent="0.3">
      <c r="A4233" s="426">
        <v>44608</v>
      </c>
      <c r="B4233">
        <v>44055.22</v>
      </c>
      <c r="C4233" t="s">
        <v>579</v>
      </c>
    </row>
    <row r="4234" spans="1:3" x14ac:dyDescent="0.3">
      <c r="A4234" s="426">
        <v>44609</v>
      </c>
      <c r="B4234">
        <v>43183.64</v>
      </c>
      <c r="C4234" t="s">
        <v>579</v>
      </c>
    </row>
    <row r="4235" spans="1:3" x14ac:dyDescent="0.3">
      <c r="A4235" s="426">
        <v>44610</v>
      </c>
      <c r="B4235">
        <v>40443.599999999999</v>
      </c>
      <c r="C4235" t="s">
        <v>579</v>
      </c>
    </row>
    <row r="4236" spans="1:3" x14ac:dyDescent="0.3">
      <c r="A4236" s="426">
        <v>44611</v>
      </c>
      <c r="B4236">
        <v>40079.120000000003</v>
      </c>
      <c r="C4236" t="s">
        <v>579</v>
      </c>
    </row>
    <row r="4237" spans="1:3" x14ac:dyDescent="0.3">
      <c r="A4237" s="426">
        <v>44612</v>
      </c>
      <c r="B4237">
        <v>38412.080000000002</v>
      </c>
      <c r="C4237" t="s">
        <v>579</v>
      </c>
    </row>
    <row r="4238" spans="1:3" x14ac:dyDescent="0.3">
      <c r="A4238" s="426">
        <v>44613</v>
      </c>
      <c r="B4238">
        <v>38736.46</v>
      </c>
      <c r="C4238" t="s">
        <v>579</v>
      </c>
    </row>
    <row r="4239" spans="1:3" x14ac:dyDescent="0.3">
      <c r="A4239" s="426">
        <v>44614</v>
      </c>
      <c r="B4239">
        <v>37591.589999999997</v>
      </c>
      <c r="C4239" t="s">
        <v>579</v>
      </c>
    </row>
    <row r="4240" spans="1:3" x14ac:dyDescent="0.3">
      <c r="A4240" s="426">
        <v>44615</v>
      </c>
      <c r="B4240">
        <v>38109.33</v>
      </c>
      <c r="C4240" t="s">
        <v>579</v>
      </c>
    </row>
    <row r="4241" spans="1:3" x14ac:dyDescent="0.3">
      <c r="A4241" s="426">
        <v>44616</v>
      </c>
      <c r="B4241">
        <v>35734.620000000003</v>
      </c>
      <c r="C4241" t="s">
        <v>579</v>
      </c>
    </row>
    <row r="4242" spans="1:3" x14ac:dyDescent="0.3">
      <c r="A4242" s="426">
        <v>44617</v>
      </c>
      <c r="B4242">
        <v>38781.58</v>
      </c>
      <c r="C4242" t="s">
        <v>579</v>
      </c>
    </row>
    <row r="4243" spans="1:3" x14ac:dyDescent="0.3">
      <c r="A4243" s="426">
        <v>44618</v>
      </c>
      <c r="B4243">
        <v>39205.11</v>
      </c>
      <c r="C4243" t="s">
        <v>579</v>
      </c>
    </row>
    <row r="4244" spans="1:3" x14ac:dyDescent="0.3">
      <c r="A4244" s="426">
        <v>44619</v>
      </c>
      <c r="B4244">
        <v>38814.36</v>
      </c>
      <c r="C4244" t="s">
        <v>579</v>
      </c>
    </row>
    <row r="4245" spans="1:3" x14ac:dyDescent="0.3">
      <c r="A4245" s="426">
        <v>44620</v>
      </c>
      <c r="B4245">
        <v>38357.01</v>
      </c>
      <c r="C4245" t="s">
        <v>579</v>
      </c>
    </row>
    <row r="4246" spans="1:3" x14ac:dyDescent="0.3">
      <c r="A4246" s="426">
        <v>44621</v>
      </c>
      <c r="B4246">
        <v>43537.58</v>
      </c>
      <c r="C4246" t="s">
        <v>579</v>
      </c>
    </row>
    <row r="4247" spans="1:3" x14ac:dyDescent="0.3">
      <c r="A4247" s="426">
        <v>44622</v>
      </c>
      <c r="B4247">
        <v>44060.58</v>
      </c>
      <c r="C4247" t="s">
        <v>579</v>
      </c>
    </row>
    <row r="4248" spans="1:3" x14ac:dyDescent="0.3">
      <c r="A4248" s="426">
        <v>44623</v>
      </c>
      <c r="B4248">
        <v>43397.919999999998</v>
      </c>
      <c r="C4248" t="s">
        <v>579</v>
      </c>
    </row>
    <row r="4249" spans="1:3" x14ac:dyDescent="0.3">
      <c r="A4249" s="426">
        <v>44624</v>
      </c>
      <c r="B4249">
        <v>41382.699999999997</v>
      </c>
      <c r="C4249" t="s">
        <v>579</v>
      </c>
    </row>
    <row r="4250" spans="1:3" x14ac:dyDescent="0.3">
      <c r="A4250" s="426">
        <v>44625</v>
      </c>
      <c r="B4250">
        <v>39126.89</v>
      </c>
      <c r="C4250" t="s">
        <v>579</v>
      </c>
    </row>
    <row r="4251" spans="1:3" x14ac:dyDescent="0.3">
      <c r="A4251" s="426">
        <v>44626</v>
      </c>
      <c r="B4251">
        <v>39018.33</v>
      </c>
      <c r="C4251" t="s">
        <v>579</v>
      </c>
    </row>
    <row r="4252" spans="1:3" x14ac:dyDescent="0.3">
      <c r="A4252" s="426">
        <v>44627</v>
      </c>
      <c r="B4252">
        <v>38184.879999999997</v>
      </c>
      <c r="C4252" t="s">
        <v>579</v>
      </c>
    </row>
    <row r="4253" spans="1:3" x14ac:dyDescent="0.3">
      <c r="A4253" s="426">
        <v>44628</v>
      </c>
      <c r="B4253">
        <v>38690.43</v>
      </c>
      <c r="C4253" t="s">
        <v>579</v>
      </c>
    </row>
    <row r="4254" spans="1:3" x14ac:dyDescent="0.3">
      <c r="A4254" s="426">
        <v>44629</v>
      </c>
      <c r="B4254">
        <v>41943.43</v>
      </c>
      <c r="C4254" t="s">
        <v>579</v>
      </c>
    </row>
    <row r="4255" spans="1:3" x14ac:dyDescent="0.3">
      <c r="A4255" s="426">
        <v>44630</v>
      </c>
      <c r="B4255">
        <v>39292.120000000003</v>
      </c>
      <c r="C4255" t="s">
        <v>579</v>
      </c>
    </row>
    <row r="4256" spans="1:3" x14ac:dyDescent="0.3">
      <c r="A4256" s="426">
        <v>44631</v>
      </c>
      <c r="B4256">
        <v>38893.18</v>
      </c>
      <c r="C4256" t="s">
        <v>579</v>
      </c>
    </row>
    <row r="4257" spans="1:3" x14ac:dyDescent="0.3">
      <c r="A4257" s="426">
        <v>44632</v>
      </c>
      <c r="B4257">
        <v>39125.24</v>
      </c>
      <c r="C4257" t="s">
        <v>579</v>
      </c>
    </row>
    <row r="4258" spans="1:3" x14ac:dyDescent="0.3">
      <c r="A4258" s="426">
        <v>44633</v>
      </c>
      <c r="B4258">
        <v>38978.959999999999</v>
      </c>
      <c r="C4258" t="s">
        <v>579</v>
      </c>
    </row>
    <row r="4259" spans="1:3" x14ac:dyDescent="0.3">
      <c r="A4259" s="426">
        <v>44634</v>
      </c>
      <c r="B4259">
        <v>38798.74</v>
      </c>
      <c r="C4259" t="s">
        <v>579</v>
      </c>
    </row>
    <row r="4260" spans="1:3" x14ac:dyDescent="0.3">
      <c r="A4260" s="426">
        <v>44635</v>
      </c>
      <c r="B4260">
        <v>38944.42</v>
      </c>
      <c r="C4260" t="s">
        <v>579</v>
      </c>
    </row>
    <row r="4261" spans="1:3" x14ac:dyDescent="0.3">
      <c r="A4261" s="426">
        <v>44636</v>
      </c>
      <c r="B4261">
        <v>40391.21</v>
      </c>
      <c r="C4261" t="s">
        <v>579</v>
      </c>
    </row>
    <row r="4262" spans="1:3" x14ac:dyDescent="0.3">
      <c r="A4262" s="426">
        <v>44637</v>
      </c>
      <c r="B4262">
        <v>40887.279999999999</v>
      </c>
      <c r="C4262" t="s">
        <v>579</v>
      </c>
    </row>
    <row r="4263" spans="1:3" x14ac:dyDescent="0.3">
      <c r="A4263" s="426">
        <v>44638</v>
      </c>
      <c r="B4263">
        <v>40697.599999999999</v>
      </c>
      <c r="C4263" t="s">
        <v>579</v>
      </c>
    </row>
    <row r="4264" spans="1:3" x14ac:dyDescent="0.3">
      <c r="A4264" s="426">
        <v>44639</v>
      </c>
      <c r="B4264">
        <v>41801.339999999997</v>
      </c>
      <c r="C4264" t="s">
        <v>579</v>
      </c>
    </row>
    <row r="4265" spans="1:3" x14ac:dyDescent="0.3">
      <c r="A4265" s="426">
        <v>44640</v>
      </c>
      <c r="B4265">
        <v>41665.51</v>
      </c>
      <c r="C4265" t="s">
        <v>579</v>
      </c>
    </row>
    <row r="4266" spans="1:3" x14ac:dyDescent="0.3">
      <c r="A4266" s="426">
        <v>44641</v>
      </c>
      <c r="B4266">
        <v>41134.11</v>
      </c>
      <c r="C4266" t="s">
        <v>579</v>
      </c>
    </row>
    <row r="4267" spans="1:3" x14ac:dyDescent="0.3">
      <c r="A4267" s="426">
        <v>44642</v>
      </c>
      <c r="B4267">
        <v>42569.47</v>
      </c>
      <c r="C4267" t="s">
        <v>579</v>
      </c>
    </row>
    <row r="4268" spans="1:3" x14ac:dyDescent="0.3">
      <c r="A4268" s="426">
        <v>44643</v>
      </c>
      <c r="B4268">
        <v>42267.11</v>
      </c>
      <c r="C4268" t="s">
        <v>579</v>
      </c>
    </row>
    <row r="4269" spans="1:3" x14ac:dyDescent="0.3">
      <c r="A4269" s="426">
        <v>44644</v>
      </c>
      <c r="B4269">
        <v>43096.32</v>
      </c>
      <c r="C4269" t="s">
        <v>579</v>
      </c>
    </row>
    <row r="4270" spans="1:3" x14ac:dyDescent="0.3">
      <c r="A4270" s="426">
        <v>44645</v>
      </c>
      <c r="B4270">
        <v>44233.19</v>
      </c>
      <c r="C4270" t="s">
        <v>579</v>
      </c>
    </row>
    <row r="4271" spans="1:3" x14ac:dyDescent="0.3">
      <c r="A4271" s="426">
        <v>44646</v>
      </c>
      <c r="B4271">
        <v>44405.38</v>
      </c>
      <c r="C4271" t="s">
        <v>579</v>
      </c>
    </row>
    <row r="4272" spans="1:3" x14ac:dyDescent="0.3">
      <c r="A4272" s="426">
        <v>44647</v>
      </c>
      <c r="B4272">
        <v>44693.2</v>
      </c>
      <c r="C4272" t="s">
        <v>579</v>
      </c>
    </row>
    <row r="4273" spans="1:3" x14ac:dyDescent="0.3">
      <c r="A4273" s="426">
        <v>44648</v>
      </c>
      <c r="B4273">
        <v>47216.959999999999</v>
      </c>
      <c r="C4273" t="s">
        <v>579</v>
      </c>
    </row>
    <row r="4274" spans="1:3" x14ac:dyDescent="0.3">
      <c r="A4274" s="426">
        <v>44649</v>
      </c>
      <c r="B4274">
        <v>47540.51</v>
      </c>
      <c r="C4274" t="s">
        <v>579</v>
      </c>
    </row>
    <row r="4275" spans="1:3" x14ac:dyDescent="0.3">
      <c r="A4275" s="426">
        <v>44650</v>
      </c>
      <c r="B4275">
        <v>47256.01</v>
      </c>
      <c r="C4275" t="s">
        <v>579</v>
      </c>
    </row>
    <row r="4276" spans="1:3" x14ac:dyDescent="0.3">
      <c r="A4276" s="426">
        <v>44651</v>
      </c>
      <c r="B4276">
        <v>47061.38</v>
      </c>
      <c r="C4276" t="s">
        <v>579</v>
      </c>
    </row>
    <row r="4277" spans="1:3" x14ac:dyDescent="0.3">
      <c r="A4277" s="426">
        <v>44652</v>
      </c>
      <c r="B4277">
        <v>45452.160000000003</v>
      </c>
      <c r="C4277" t="s">
        <v>579</v>
      </c>
    </row>
    <row r="4278" spans="1:3" x14ac:dyDescent="0.3">
      <c r="A4278" s="426">
        <v>44653</v>
      </c>
      <c r="B4278">
        <v>46546.64</v>
      </c>
      <c r="C4278" t="s">
        <v>579</v>
      </c>
    </row>
    <row r="4279" spans="1:3" x14ac:dyDescent="0.3">
      <c r="A4279" s="426">
        <v>44654</v>
      </c>
      <c r="B4279">
        <v>46362.52</v>
      </c>
      <c r="C4279" t="s">
        <v>579</v>
      </c>
    </row>
    <row r="4280" spans="1:3" x14ac:dyDescent="0.3">
      <c r="A4280" s="426">
        <v>44655</v>
      </c>
      <c r="B4280">
        <v>46076.1</v>
      </c>
      <c r="C4280" t="s">
        <v>579</v>
      </c>
    </row>
    <row r="4281" spans="1:3" x14ac:dyDescent="0.3">
      <c r="A4281" s="426">
        <v>44656</v>
      </c>
      <c r="B4281">
        <v>46594.74</v>
      </c>
      <c r="C4281" t="s">
        <v>579</v>
      </c>
    </row>
    <row r="4282" spans="1:3" x14ac:dyDescent="0.3">
      <c r="A4282" s="426">
        <v>44657</v>
      </c>
      <c r="B4282">
        <v>44917.11</v>
      </c>
      <c r="C4282" t="s">
        <v>579</v>
      </c>
    </row>
    <row r="4283" spans="1:3" x14ac:dyDescent="0.3">
      <c r="A4283" s="426">
        <v>44658</v>
      </c>
      <c r="B4283">
        <v>43461.43</v>
      </c>
      <c r="C4283" t="s">
        <v>579</v>
      </c>
    </row>
    <row r="4284" spans="1:3" x14ac:dyDescent="0.3">
      <c r="A4284" s="426">
        <v>44659</v>
      </c>
      <c r="B4284">
        <v>43533.120000000003</v>
      </c>
      <c r="C4284" t="s">
        <v>579</v>
      </c>
    </row>
    <row r="4285" spans="1:3" x14ac:dyDescent="0.3">
      <c r="A4285" s="426">
        <v>44660</v>
      </c>
      <c r="B4285">
        <v>42476.59</v>
      </c>
      <c r="C4285" t="s">
        <v>579</v>
      </c>
    </row>
    <row r="4286" spans="1:3" x14ac:dyDescent="0.3">
      <c r="A4286" s="426">
        <v>44661</v>
      </c>
      <c r="B4286">
        <v>42715.18</v>
      </c>
      <c r="C4286" t="s">
        <v>579</v>
      </c>
    </row>
    <row r="4287" spans="1:3" x14ac:dyDescent="0.3">
      <c r="A4287" s="426">
        <v>44662</v>
      </c>
      <c r="B4287">
        <v>41188.269999999997</v>
      </c>
      <c r="C4287" t="s">
        <v>579</v>
      </c>
    </row>
    <row r="4288" spans="1:3" x14ac:dyDescent="0.3">
      <c r="A4288" s="426">
        <v>44663</v>
      </c>
      <c r="B4288">
        <v>40091.019999999997</v>
      </c>
      <c r="C4288" t="s">
        <v>579</v>
      </c>
    </row>
    <row r="4289" spans="1:3" x14ac:dyDescent="0.3">
      <c r="A4289" s="426">
        <v>44664</v>
      </c>
      <c r="B4289">
        <v>40160.160000000003</v>
      </c>
      <c r="C4289" t="s">
        <v>579</v>
      </c>
    </row>
    <row r="4290" spans="1:3" x14ac:dyDescent="0.3">
      <c r="A4290" s="426">
        <v>44665</v>
      </c>
      <c r="B4290">
        <v>41045.279999999999</v>
      </c>
      <c r="C4290" t="s">
        <v>579</v>
      </c>
    </row>
    <row r="4291" spans="1:3" x14ac:dyDescent="0.3">
      <c r="A4291" s="426">
        <v>44666</v>
      </c>
      <c r="B4291">
        <v>40208.9</v>
      </c>
      <c r="C4291" t="s">
        <v>579</v>
      </c>
    </row>
    <row r="4292" spans="1:3" x14ac:dyDescent="0.3">
      <c r="A4292" s="426">
        <v>44667</v>
      </c>
      <c r="B4292">
        <v>40442.230000000003</v>
      </c>
      <c r="C4292" t="s">
        <v>579</v>
      </c>
    </row>
    <row r="4293" spans="1:3" x14ac:dyDescent="0.3">
      <c r="A4293" s="426">
        <v>44668</v>
      </c>
      <c r="B4293">
        <v>40369.46</v>
      </c>
      <c r="C4293" t="s">
        <v>579</v>
      </c>
    </row>
    <row r="4294" spans="1:3" x14ac:dyDescent="0.3">
      <c r="A4294" s="426">
        <v>44669</v>
      </c>
      <c r="B4294">
        <v>39502.21</v>
      </c>
      <c r="C4294" t="s">
        <v>579</v>
      </c>
    </row>
    <row r="4295" spans="1:3" x14ac:dyDescent="0.3">
      <c r="A4295" s="426">
        <v>44670</v>
      </c>
      <c r="B4295">
        <v>40939.14</v>
      </c>
      <c r="C4295" t="s">
        <v>579</v>
      </c>
    </row>
    <row r="4296" spans="1:3" x14ac:dyDescent="0.3">
      <c r="A4296" s="426">
        <v>44671</v>
      </c>
      <c r="B4296">
        <v>41377.25</v>
      </c>
      <c r="C4296" t="s">
        <v>579</v>
      </c>
    </row>
    <row r="4297" spans="1:3" x14ac:dyDescent="0.3">
      <c r="A4297" s="426">
        <v>44672</v>
      </c>
      <c r="B4297">
        <v>41659.64</v>
      </c>
      <c r="C4297" t="s">
        <v>579</v>
      </c>
    </row>
    <row r="4298" spans="1:3" x14ac:dyDescent="0.3">
      <c r="A4298" s="426">
        <v>44673</v>
      </c>
      <c r="B4298">
        <v>40430.86</v>
      </c>
      <c r="C4298" t="s">
        <v>579</v>
      </c>
    </row>
    <row r="4299" spans="1:3" x14ac:dyDescent="0.3">
      <c r="A4299" s="426">
        <v>44674</v>
      </c>
      <c r="B4299">
        <v>39678.39</v>
      </c>
      <c r="C4299" t="s">
        <v>579</v>
      </c>
    </row>
    <row r="4300" spans="1:3" x14ac:dyDescent="0.3">
      <c r="A4300" s="426">
        <v>44675</v>
      </c>
      <c r="B4300">
        <v>39635.17</v>
      </c>
      <c r="C4300" t="s">
        <v>579</v>
      </c>
    </row>
    <row r="4301" spans="1:3" x14ac:dyDescent="0.3">
      <c r="A4301" s="426">
        <v>44676</v>
      </c>
      <c r="B4301">
        <v>39070.120000000003</v>
      </c>
      <c r="C4301" t="s">
        <v>579</v>
      </c>
    </row>
    <row r="4302" spans="1:3" x14ac:dyDescent="0.3">
      <c r="A4302" s="426">
        <v>44677</v>
      </c>
      <c r="B4302">
        <v>40402.46</v>
      </c>
      <c r="C4302" t="s">
        <v>579</v>
      </c>
    </row>
    <row r="4303" spans="1:3" x14ac:dyDescent="0.3">
      <c r="A4303" s="426">
        <v>44678</v>
      </c>
      <c r="B4303">
        <v>38954.07</v>
      </c>
      <c r="C4303" t="s">
        <v>579</v>
      </c>
    </row>
    <row r="4304" spans="1:3" x14ac:dyDescent="0.3">
      <c r="A4304" s="426">
        <v>44679</v>
      </c>
      <c r="B4304">
        <v>39663.14</v>
      </c>
      <c r="C4304" t="s">
        <v>579</v>
      </c>
    </row>
    <row r="4305" spans="1:3" x14ac:dyDescent="0.3">
      <c r="A4305" s="426">
        <v>44680</v>
      </c>
      <c r="B4305">
        <v>39015.19</v>
      </c>
      <c r="C4305" t="s">
        <v>579</v>
      </c>
    </row>
    <row r="4306" spans="1:3" x14ac:dyDescent="0.3">
      <c r="A4306" s="426">
        <v>44681</v>
      </c>
      <c r="B4306">
        <v>38607.68</v>
      </c>
      <c r="C4306" t="s">
        <v>579</v>
      </c>
    </row>
    <row r="4307" spans="1:3" x14ac:dyDescent="0.3">
      <c r="A4307" s="426">
        <v>44682</v>
      </c>
      <c r="B4307">
        <v>38014.83</v>
      </c>
      <c r="C4307" t="s">
        <v>579</v>
      </c>
    </row>
    <row r="4308" spans="1:3" x14ac:dyDescent="0.3">
      <c r="A4308" s="426">
        <v>44683</v>
      </c>
      <c r="B4308">
        <v>38680.42</v>
      </c>
      <c r="C4308" t="s">
        <v>579</v>
      </c>
    </row>
    <row r="4309" spans="1:3" x14ac:dyDescent="0.3">
      <c r="A4309" s="426">
        <v>44684</v>
      </c>
      <c r="B4309">
        <v>38423.11</v>
      </c>
      <c r="C4309" t="s">
        <v>579</v>
      </c>
    </row>
    <row r="4310" spans="1:3" x14ac:dyDescent="0.3">
      <c r="A4310" s="426">
        <v>44685</v>
      </c>
      <c r="B4310">
        <v>38954.089999999997</v>
      </c>
      <c r="C4310" t="s">
        <v>579</v>
      </c>
    </row>
    <row r="4311" spans="1:3" x14ac:dyDescent="0.3">
      <c r="A4311" s="426">
        <v>44686</v>
      </c>
      <c r="B4311">
        <v>39480.949999999997</v>
      </c>
      <c r="C4311" t="s">
        <v>579</v>
      </c>
    </row>
    <row r="4312" spans="1:3" x14ac:dyDescent="0.3">
      <c r="A4312" s="426">
        <v>44687</v>
      </c>
      <c r="B4312">
        <v>36112.720000000001</v>
      </c>
      <c r="C4312" t="s">
        <v>579</v>
      </c>
    </row>
    <row r="4313" spans="1:3" x14ac:dyDescent="0.3">
      <c r="A4313" s="426">
        <v>44688</v>
      </c>
      <c r="B4313">
        <v>35942.370000000003</v>
      </c>
      <c r="C4313" t="s">
        <v>579</v>
      </c>
    </row>
    <row r="4314" spans="1:3" x14ac:dyDescent="0.3">
      <c r="A4314" s="426">
        <v>44689</v>
      </c>
      <c r="B4314">
        <v>34584.17</v>
      </c>
      <c r="C4314" t="s">
        <v>579</v>
      </c>
    </row>
    <row r="4315" spans="1:3" x14ac:dyDescent="0.3">
      <c r="A4315" s="426">
        <v>44690</v>
      </c>
      <c r="B4315">
        <v>33015.82</v>
      </c>
      <c r="C4315" t="s">
        <v>579</v>
      </c>
    </row>
    <row r="4316" spans="1:3" x14ac:dyDescent="0.3">
      <c r="A4316" s="426">
        <v>44691</v>
      </c>
      <c r="B4316">
        <v>31388.42</v>
      </c>
      <c r="C4316" t="s">
        <v>579</v>
      </c>
    </row>
    <row r="4317" spans="1:3" x14ac:dyDescent="0.3">
      <c r="A4317" s="426">
        <v>44692</v>
      </c>
      <c r="B4317">
        <v>30935.59</v>
      </c>
      <c r="C4317" t="s">
        <v>579</v>
      </c>
    </row>
    <row r="4318" spans="1:3" x14ac:dyDescent="0.3">
      <c r="A4318" s="426">
        <v>44693</v>
      </c>
      <c r="B4318">
        <v>28504.16</v>
      </c>
      <c r="C4318" t="s">
        <v>579</v>
      </c>
    </row>
    <row r="4319" spans="1:3" x14ac:dyDescent="0.3">
      <c r="A4319" s="426">
        <v>44694</v>
      </c>
      <c r="B4319">
        <v>30268.74</v>
      </c>
      <c r="C4319" t="s">
        <v>579</v>
      </c>
    </row>
    <row r="4320" spans="1:3" x14ac:dyDescent="0.3">
      <c r="A4320" s="426">
        <v>44695</v>
      </c>
      <c r="B4320">
        <v>29463.74</v>
      </c>
      <c r="C4320" t="s">
        <v>4528</v>
      </c>
    </row>
    <row r="4321" spans="1:3" x14ac:dyDescent="0.3">
      <c r="A4321" s="426">
        <v>44696</v>
      </c>
      <c r="B4321">
        <v>29941.39</v>
      </c>
      <c r="C4321" t="s">
        <v>4529</v>
      </c>
    </row>
    <row r="4322" spans="1:3" x14ac:dyDescent="0.3">
      <c r="A4322" s="426">
        <v>44697</v>
      </c>
      <c r="B4322">
        <v>29850.43</v>
      </c>
      <c r="C4322" t="s">
        <v>4530</v>
      </c>
    </row>
    <row r="4323" spans="1:3" x14ac:dyDescent="0.3">
      <c r="A4323" s="426">
        <v>44698</v>
      </c>
      <c r="B4323">
        <v>30355.08</v>
      </c>
      <c r="C4323" t="s">
        <v>4531</v>
      </c>
    </row>
    <row r="4324" spans="1:3" x14ac:dyDescent="0.3">
      <c r="A4324" s="426">
        <v>44699</v>
      </c>
      <c r="B4324">
        <v>29798.98</v>
      </c>
      <c r="C4324" t="s">
        <v>4532</v>
      </c>
    </row>
    <row r="4325" spans="1:3" x14ac:dyDescent="0.3">
      <c r="A4325" s="426">
        <v>44700</v>
      </c>
      <c r="B4325">
        <v>29495.7</v>
      </c>
      <c r="C4325" t="s">
        <v>4533</v>
      </c>
    </row>
    <row r="4326" spans="1:3" x14ac:dyDescent="0.3">
      <c r="A4326" s="426">
        <v>44701</v>
      </c>
      <c r="B4326">
        <v>30135.759999999998</v>
      </c>
      <c r="C4326" t="s">
        <v>4534</v>
      </c>
    </row>
    <row r="4327" spans="1:3" x14ac:dyDescent="0.3">
      <c r="A4327" s="426">
        <v>44702</v>
      </c>
      <c r="B4327">
        <v>29324.41</v>
      </c>
      <c r="C4327" t="s">
        <v>4535</v>
      </c>
    </row>
    <row r="4328" spans="1:3" x14ac:dyDescent="0.3">
      <c r="A4328" s="426">
        <v>44703</v>
      </c>
      <c r="B4328">
        <v>29906.45</v>
      </c>
      <c r="C4328" t="s">
        <v>4536</v>
      </c>
    </row>
    <row r="4329" spans="1:3" x14ac:dyDescent="0.3">
      <c r="A4329" s="426">
        <v>44704</v>
      </c>
      <c r="B4329">
        <v>30214.89</v>
      </c>
      <c r="C4329" t="s">
        <v>4537</v>
      </c>
    </row>
    <row r="4330" spans="1:3" x14ac:dyDescent="0.3">
      <c r="A4330" s="426">
        <v>44705</v>
      </c>
      <c r="B4330">
        <v>29326.3</v>
      </c>
      <c r="C4330" t="s">
        <v>4538</v>
      </c>
    </row>
    <row r="4331" spans="1:3" x14ac:dyDescent="0.3">
      <c r="A4331" s="426">
        <v>44706</v>
      </c>
      <c r="B4331">
        <v>29741.86</v>
      </c>
      <c r="C4331" t="s">
        <v>4539</v>
      </c>
    </row>
    <row r="4332" spans="1:3" x14ac:dyDescent="0.3">
      <c r="A4332" s="426">
        <v>44707</v>
      </c>
      <c r="B4332">
        <v>29528.59</v>
      </c>
      <c r="C4332" t="s">
        <v>4540</v>
      </c>
    </row>
    <row r="4333" spans="1:3" x14ac:dyDescent="0.3">
      <c r="A4333" s="426">
        <v>44708</v>
      </c>
      <c r="B4333">
        <v>28937.34</v>
      </c>
      <c r="C4333" t="s">
        <v>4541</v>
      </c>
    </row>
    <row r="4334" spans="1:3" x14ac:dyDescent="0.3">
      <c r="A4334" s="426">
        <v>44709</v>
      </c>
      <c r="B4334">
        <v>28869.41</v>
      </c>
      <c r="C4334" t="s">
        <v>4542</v>
      </c>
    </row>
    <row r="4335" spans="1:3" x14ac:dyDescent="0.3">
      <c r="A4335" s="426">
        <v>44710</v>
      </c>
      <c r="B4335">
        <v>29111.74</v>
      </c>
      <c r="C4335" t="s">
        <v>4543</v>
      </c>
    </row>
    <row r="4336" spans="1:3" x14ac:dyDescent="0.3">
      <c r="A4336" s="426">
        <v>44711</v>
      </c>
      <c r="B4336">
        <v>30620.61</v>
      </c>
      <c r="C4336" t="s">
        <v>4544</v>
      </c>
    </row>
    <row r="4337" spans="1:3" x14ac:dyDescent="0.3">
      <c r="A4337" s="426">
        <v>44712</v>
      </c>
      <c r="B4337">
        <v>31689.3</v>
      </c>
      <c r="C4337" t="s">
        <v>4545</v>
      </c>
    </row>
    <row r="4338" spans="1:3" x14ac:dyDescent="0.3">
      <c r="A4338" s="426">
        <v>44713</v>
      </c>
      <c r="B4338">
        <v>31528.11</v>
      </c>
      <c r="C4338" t="s">
        <v>4546</v>
      </c>
    </row>
    <row r="4339" spans="1:3" x14ac:dyDescent="0.3">
      <c r="A4339" s="426">
        <v>44714</v>
      </c>
      <c r="B4339">
        <v>29996.240000000002</v>
      </c>
      <c r="C4339" t="s">
        <v>4547</v>
      </c>
    </row>
    <row r="4340" spans="1:3" x14ac:dyDescent="0.3">
      <c r="A4340" s="426">
        <v>44715</v>
      </c>
      <c r="B4340">
        <v>29814.65</v>
      </c>
      <c r="C4340" t="s">
        <v>4548</v>
      </c>
    </row>
    <row r="4341" spans="1:3" x14ac:dyDescent="0.3">
      <c r="A4341" s="426">
        <v>44716</v>
      </c>
      <c r="B4341">
        <v>29705.47</v>
      </c>
      <c r="C4341" t="s">
        <v>4549</v>
      </c>
    </row>
    <row r="4342" spans="1:3" x14ac:dyDescent="0.3">
      <c r="A4342" s="426">
        <v>44717</v>
      </c>
      <c r="B4342">
        <v>29778.75</v>
      </c>
      <c r="C4342" t="s">
        <v>4550</v>
      </c>
    </row>
    <row r="4343" spans="1:3" x14ac:dyDescent="0.3">
      <c r="A4343" s="426">
        <v>44718</v>
      </c>
      <c r="B4343">
        <v>31354.57</v>
      </c>
      <c r="C4343" t="s">
        <v>4551</v>
      </c>
    </row>
    <row r="4344" spans="1:3" x14ac:dyDescent="0.3">
      <c r="A4344" s="426">
        <v>44719</v>
      </c>
      <c r="B4344">
        <v>29632.63</v>
      </c>
      <c r="C4344" t="s">
        <v>4552</v>
      </c>
    </row>
    <row r="4345" spans="1:3" x14ac:dyDescent="0.3">
      <c r="A4345" s="426">
        <v>44720</v>
      </c>
      <c r="B4345">
        <v>30399.09</v>
      </c>
      <c r="C4345" t="s">
        <v>4553</v>
      </c>
    </row>
    <row r="4346" spans="1:3" x14ac:dyDescent="0.3">
      <c r="A4346" s="426">
        <v>44721</v>
      </c>
      <c r="B4346">
        <v>30223.55</v>
      </c>
      <c r="C4346" t="s">
        <v>4554</v>
      </c>
    </row>
    <row r="4347" spans="1:3" x14ac:dyDescent="0.3">
      <c r="A4347" s="426">
        <v>44722</v>
      </c>
      <c r="B4347">
        <v>29823.05</v>
      </c>
      <c r="C4347" t="s">
        <v>4555</v>
      </c>
    </row>
    <row r="4348" spans="1:3" x14ac:dyDescent="0.3">
      <c r="A4348" s="426">
        <v>44723</v>
      </c>
      <c r="B4348">
        <v>28754.29</v>
      </c>
      <c r="C4348" t="s">
        <v>4556</v>
      </c>
    </row>
    <row r="4349" spans="1:3" x14ac:dyDescent="0.3">
      <c r="A4349" s="426">
        <v>44724</v>
      </c>
      <c r="B4349">
        <v>27514.7</v>
      </c>
      <c r="C4349" t="s">
        <v>4557</v>
      </c>
    </row>
    <row r="4350" spans="1:3" x14ac:dyDescent="0.3">
      <c r="A4350" s="426">
        <v>44725</v>
      </c>
      <c r="B4350">
        <v>23835.16</v>
      </c>
      <c r="C4350" t="s">
        <v>4558</v>
      </c>
    </row>
    <row r="4351" spans="1:3" x14ac:dyDescent="0.3">
      <c r="A4351" s="426">
        <v>44726</v>
      </c>
      <c r="B4351">
        <v>22242.13</v>
      </c>
      <c r="C4351" t="s">
        <v>4559</v>
      </c>
    </row>
    <row r="4352" spans="1:3" x14ac:dyDescent="0.3">
      <c r="A4352" s="426">
        <v>44727</v>
      </c>
      <c r="B4352">
        <v>21284.880000000001</v>
      </c>
      <c r="C4352" t="s">
        <v>4560</v>
      </c>
    </row>
    <row r="4353" spans="1:3" x14ac:dyDescent="0.3">
      <c r="A4353" s="426">
        <v>44728</v>
      </c>
      <c r="B4353">
        <v>21199.14</v>
      </c>
      <c r="C4353" t="s">
        <v>4561</v>
      </c>
    </row>
    <row r="4354" spans="1:3" x14ac:dyDescent="0.3">
      <c r="A4354" s="426">
        <v>44729</v>
      </c>
      <c r="B4354">
        <v>20640.169999999998</v>
      </c>
      <c r="C4354" t="s">
        <v>4562</v>
      </c>
    </row>
    <row r="4355" spans="1:3" x14ac:dyDescent="0.3">
      <c r="A4355" s="426">
        <v>44730</v>
      </c>
      <c r="B4355">
        <v>19180.32</v>
      </c>
      <c r="C4355" t="s">
        <v>4563</v>
      </c>
    </row>
    <row r="4356" spans="1:3" x14ac:dyDescent="0.3">
      <c r="A4356" s="426">
        <v>44731</v>
      </c>
      <c r="B4356">
        <v>19424.84</v>
      </c>
      <c r="C4356" t="s">
        <v>4564</v>
      </c>
    </row>
    <row r="4357" spans="1:3" x14ac:dyDescent="0.3">
      <c r="A4357" s="426">
        <v>44732</v>
      </c>
      <c r="B4357">
        <v>20378.64</v>
      </c>
      <c r="C4357" t="s">
        <v>4565</v>
      </c>
    </row>
    <row r="4358" spans="1:3" x14ac:dyDescent="0.3">
      <c r="A4358" s="426">
        <v>44733</v>
      </c>
      <c r="B4358">
        <v>20974.18</v>
      </c>
      <c r="C4358" t="s">
        <v>4566</v>
      </c>
    </row>
    <row r="4359" spans="1:3" x14ac:dyDescent="0.3">
      <c r="A4359" s="426">
        <v>44734</v>
      </c>
      <c r="B4359">
        <v>20319.68</v>
      </c>
      <c r="C4359" t="s">
        <v>4567</v>
      </c>
    </row>
    <row r="4360" spans="1:3" x14ac:dyDescent="0.3">
      <c r="A4360" s="426">
        <v>44735</v>
      </c>
      <c r="B4360">
        <v>20496.68</v>
      </c>
      <c r="C4360" t="s">
        <v>4568</v>
      </c>
    </row>
    <row r="4361" spans="1:3" x14ac:dyDescent="0.3">
      <c r="A4361" s="426">
        <v>44736</v>
      </c>
      <c r="B4361">
        <v>21106.91</v>
      </c>
      <c r="C4361" t="s">
        <v>4569</v>
      </c>
    </row>
    <row r="4362" spans="1:3" x14ac:dyDescent="0.3">
      <c r="A4362" s="426">
        <v>44737</v>
      </c>
      <c r="B4362">
        <v>21264.02</v>
      </c>
      <c r="C4362" t="s">
        <v>4570</v>
      </c>
    </row>
    <row r="4363" spans="1:3" x14ac:dyDescent="0.3">
      <c r="A4363" s="426">
        <v>44738</v>
      </c>
      <c r="B4363">
        <v>21389.73</v>
      </c>
      <c r="C4363" t="s">
        <v>4571</v>
      </c>
    </row>
    <row r="4364" spans="1:3" x14ac:dyDescent="0.3">
      <c r="A4364" s="426">
        <v>44739</v>
      </c>
      <c r="B4364">
        <v>21084.799999999999</v>
      </c>
      <c r="C4364" t="s">
        <v>4572</v>
      </c>
    </row>
    <row r="4365" spans="1:3" x14ac:dyDescent="0.3">
      <c r="A4365" s="426">
        <v>44740</v>
      </c>
      <c r="B4365">
        <v>20739.759999999998</v>
      </c>
      <c r="C4365" t="s">
        <v>4573</v>
      </c>
    </row>
    <row r="4366" spans="1:3" x14ac:dyDescent="0.3">
      <c r="A4366" s="426">
        <v>44741</v>
      </c>
      <c r="B4366">
        <v>20104.29</v>
      </c>
      <c r="C4366" t="s">
        <v>4574</v>
      </c>
    </row>
    <row r="4367" spans="1:3" x14ac:dyDescent="0.3">
      <c r="A4367" s="426">
        <v>44742</v>
      </c>
      <c r="B4367">
        <v>19150.23</v>
      </c>
      <c r="C4367" t="s">
        <v>4575</v>
      </c>
    </row>
    <row r="4368" spans="1:3" x14ac:dyDescent="0.3">
      <c r="A4368" s="426">
        <v>44743</v>
      </c>
      <c r="B4368">
        <v>19452.09</v>
      </c>
      <c r="C4368" t="s">
        <v>4576</v>
      </c>
    </row>
    <row r="4369" spans="1:3" x14ac:dyDescent="0.3">
      <c r="A4369" s="426">
        <v>44744</v>
      </c>
      <c r="B4369">
        <v>19245.34</v>
      </c>
      <c r="C4369" t="s">
        <v>4577</v>
      </c>
    </row>
    <row r="4370" spans="1:3" x14ac:dyDescent="0.3">
      <c r="A4370" s="426">
        <v>44745</v>
      </c>
      <c r="B4370">
        <v>19143.29</v>
      </c>
      <c r="C4370" t="s">
        <v>4578</v>
      </c>
    </row>
    <row r="4371" spans="1:3" x14ac:dyDescent="0.3">
      <c r="A4371" s="426">
        <v>44746</v>
      </c>
      <c r="B4371">
        <v>19578.580000000002</v>
      </c>
      <c r="C4371" t="s">
        <v>4579</v>
      </c>
    </row>
    <row r="4372" spans="1:3" x14ac:dyDescent="0.3">
      <c r="A4372" s="426">
        <v>44747</v>
      </c>
      <c r="B4372">
        <v>20200.38</v>
      </c>
      <c r="C4372" t="s">
        <v>4580</v>
      </c>
    </row>
    <row r="4373" spans="1:3" x14ac:dyDescent="0.3">
      <c r="A4373" s="426">
        <v>44748</v>
      </c>
      <c r="B4373">
        <v>20177.16</v>
      </c>
      <c r="C4373" t="s">
        <v>4581</v>
      </c>
    </row>
    <row r="4374" spans="1:3" x14ac:dyDescent="0.3">
      <c r="A4374" s="426">
        <v>44749</v>
      </c>
      <c r="B4374">
        <v>20520.240000000002</v>
      </c>
      <c r="C4374" t="s">
        <v>4582</v>
      </c>
    </row>
    <row r="4375" spans="1:3" x14ac:dyDescent="0.3">
      <c r="A4375" s="426">
        <v>44750</v>
      </c>
      <c r="B4375">
        <v>21779.14</v>
      </c>
      <c r="C4375" t="s">
        <v>4583</v>
      </c>
    </row>
    <row r="4376" spans="1:3" x14ac:dyDescent="0.3">
      <c r="A4376" s="426">
        <v>44751</v>
      </c>
      <c r="B4376">
        <v>21621.39</v>
      </c>
      <c r="C4376" t="s">
        <v>4584</v>
      </c>
    </row>
    <row r="4377" spans="1:3" x14ac:dyDescent="0.3">
      <c r="A4377" s="426">
        <v>44752</v>
      </c>
      <c r="B4377">
        <v>21260.02</v>
      </c>
      <c r="C4377" t="s">
        <v>4585</v>
      </c>
    </row>
    <row r="4378" spans="1:3" x14ac:dyDescent="0.3">
      <c r="A4378" s="426">
        <v>44753</v>
      </c>
      <c r="B4378">
        <v>20508.919999999998</v>
      </c>
      <c r="C4378" t="s">
        <v>4586</v>
      </c>
    </row>
    <row r="4379" spans="1:3" x14ac:dyDescent="0.3">
      <c r="A4379" s="426">
        <v>44754</v>
      </c>
      <c r="B4379">
        <v>19833.62</v>
      </c>
      <c r="C4379" t="s">
        <v>4587</v>
      </c>
    </row>
    <row r="4380" spans="1:3" x14ac:dyDescent="0.3">
      <c r="A4380" s="426">
        <v>44755</v>
      </c>
      <c r="B4380">
        <v>19628.73</v>
      </c>
      <c r="C4380" t="s">
        <v>4588</v>
      </c>
    </row>
    <row r="4381" spans="1:3" x14ac:dyDescent="0.3">
      <c r="A4381" s="426">
        <v>44756</v>
      </c>
      <c r="B4381">
        <v>20208.41</v>
      </c>
      <c r="C4381" t="s">
        <v>4589</v>
      </c>
    </row>
    <row r="4382" spans="1:3" x14ac:dyDescent="0.3">
      <c r="A4382" s="426">
        <v>44757</v>
      </c>
      <c r="B4382">
        <v>20832.38</v>
      </c>
      <c r="C4382" t="s">
        <v>4590</v>
      </c>
    </row>
    <row r="4383" spans="1:3" x14ac:dyDescent="0.3">
      <c r="A4383" s="426">
        <v>44758</v>
      </c>
      <c r="B4383">
        <v>20746.89</v>
      </c>
      <c r="C4383" t="s">
        <v>4591</v>
      </c>
    </row>
    <row r="4384" spans="1:3" x14ac:dyDescent="0.3">
      <c r="A4384" s="426">
        <v>44759</v>
      </c>
      <c r="B4384">
        <v>21246.52</v>
      </c>
      <c r="C4384" t="s">
        <v>4592</v>
      </c>
    </row>
    <row r="4385" spans="1:3" x14ac:dyDescent="0.3">
      <c r="A4385" s="426">
        <v>44760</v>
      </c>
      <c r="B4385">
        <v>21965.25</v>
      </c>
      <c r="C4385" t="s">
        <v>4593</v>
      </c>
    </row>
    <row r="4386" spans="1:3" x14ac:dyDescent="0.3">
      <c r="A4386" s="426">
        <v>44761</v>
      </c>
      <c r="B4386">
        <v>22216.95</v>
      </c>
      <c r="C4386" t="s">
        <v>4594</v>
      </c>
    </row>
    <row r="4387" spans="1:3" x14ac:dyDescent="0.3">
      <c r="A4387" s="426">
        <v>44762</v>
      </c>
      <c r="B4387">
        <v>23560.240000000002</v>
      </c>
      <c r="C4387" t="s">
        <v>4595</v>
      </c>
    </row>
    <row r="4388" spans="1:3" x14ac:dyDescent="0.3">
      <c r="A4388" s="426">
        <v>44763</v>
      </c>
      <c r="B4388">
        <v>22940.39</v>
      </c>
      <c r="C4388" t="s">
        <v>4596</v>
      </c>
    </row>
    <row r="4389" spans="1:3" x14ac:dyDescent="0.3">
      <c r="A4389" s="426">
        <v>44764</v>
      </c>
      <c r="B4389">
        <v>23137.97</v>
      </c>
      <c r="C4389" t="s">
        <v>4597</v>
      </c>
    </row>
    <row r="4390" spans="1:3" x14ac:dyDescent="0.3">
      <c r="A4390" s="426">
        <v>44765</v>
      </c>
      <c r="B4390">
        <v>22483.58</v>
      </c>
      <c r="C4390" t="s">
        <v>4598</v>
      </c>
    </row>
    <row r="4391" spans="1:3" x14ac:dyDescent="0.3">
      <c r="A4391" s="426">
        <v>44766</v>
      </c>
      <c r="B4391">
        <v>22701.21</v>
      </c>
      <c r="C4391" t="s">
        <v>4599</v>
      </c>
    </row>
    <row r="4392" spans="1:3" x14ac:dyDescent="0.3">
      <c r="A4392" s="426">
        <v>44767</v>
      </c>
      <c r="B4392">
        <v>21932.9</v>
      </c>
      <c r="C4392" t="s">
        <v>4600</v>
      </c>
    </row>
    <row r="4393" spans="1:3" x14ac:dyDescent="0.3">
      <c r="A4393" s="426">
        <v>44768</v>
      </c>
      <c r="B4393">
        <v>21088.39</v>
      </c>
      <c r="C4393" t="s">
        <v>4601</v>
      </c>
    </row>
    <row r="4394" spans="1:3" x14ac:dyDescent="0.3">
      <c r="A4394" s="426">
        <v>44769</v>
      </c>
      <c r="B4394">
        <v>21366.18</v>
      </c>
      <c r="C4394" t="s">
        <v>4602</v>
      </c>
    </row>
    <row r="4395" spans="1:3" x14ac:dyDescent="0.3">
      <c r="A4395" s="426">
        <v>44770</v>
      </c>
      <c r="B4395">
        <v>23143.83</v>
      </c>
      <c r="C4395" t="s">
        <v>4603</v>
      </c>
    </row>
    <row r="4396" spans="1:3" x14ac:dyDescent="0.3">
      <c r="A4396" s="426">
        <v>44771</v>
      </c>
      <c r="B4396">
        <v>23892.32</v>
      </c>
      <c r="C4396" t="s">
        <v>4604</v>
      </c>
    </row>
    <row r="4397" spans="1:3" x14ac:dyDescent="0.3">
      <c r="A4397" s="426">
        <v>44772</v>
      </c>
      <c r="B4397">
        <v>23910.2</v>
      </c>
      <c r="C4397" t="s">
        <v>4605</v>
      </c>
    </row>
    <row r="4398" spans="1:3" x14ac:dyDescent="0.3">
      <c r="A4398" s="426">
        <v>44773</v>
      </c>
      <c r="B4398">
        <v>23763.17</v>
      </c>
      <c r="C4398" t="s">
        <v>4606</v>
      </c>
    </row>
    <row r="4399" spans="1:3" x14ac:dyDescent="0.3">
      <c r="A4399" s="426">
        <v>44774</v>
      </c>
      <c r="B4399">
        <v>23276.57</v>
      </c>
      <c r="C4399" t="s">
        <v>4607</v>
      </c>
    </row>
    <row r="4400" spans="1:3" x14ac:dyDescent="0.3">
      <c r="A4400" s="426">
        <v>44775</v>
      </c>
      <c r="B4400">
        <v>22925.3</v>
      </c>
      <c r="C4400" t="s">
        <v>4608</v>
      </c>
    </row>
    <row r="4401" spans="1:3" x14ac:dyDescent="0.3">
      <c r="A4401" s="426">
        <v>44776</v>
      </c>
      <c r="B4401">
        <v>23307.68</v>
      </c>
      <c r="C4401" t="s">
        <v>4609</v>
      </c>
    </row>
    <row r="4402" spans="1:3" x14ac:dyDescent="0.3">
      <c r="A4402" s="426">
        <v>44777</v>
      </c>
      <c r="B4402">
        <v>22909.02</v>
      </c>
      <c r="C4402" t="s">
        <v>4610</v>
      </c>
    </row>
    <row r="4403" spans="1:3" x14ac:dyDescent="0.3">
      <c r="A4403" s="426">
        <v>44778</v>
      </c>
      <c r="B4403">
        <v>23141.17</v>
      </c>
      <c r="C4403" t="s">
        <v>4611</v>
      </c>
    </row>
    <row r="4404" spans="1:3" x14ac:dyDescent="0.3">
      <c r="A4404" s="426">
        <v>44779</v>
      </c>
      <c r="B4404">
        <v>23193.56</v>
      </c>
      <c r="C4404" t="s">
        <v>4612</v>
      </c>
    </row>
    <row r="4405" spans="1:3" x14ac:dyDescent="0.3">
      <c r="A4405" s="426">
        <v>44780</v>
      </c>
      <c r="B4405">
        <v>23063.75</v>
      </c>
      <c r="C4405" t="s">
        <v>4613</v>
      </c>
    </row>
    <row r="4406" spans="1:3" x14ac:dyDescent="0.3">
      <c r="A4406" s="426">
        <v>44781</v>
      </c>
      <c r="B4406">
        <v>23905.32</v>
      </c>
      <c r="C4406" t="s">
        <v>4614</v>
      </c>
    </row>
    <row r="4407" spans="1:3" x14ac:dyDescent="0.3">
      <c r="A4407" s="426">
        <v>44782</v>
      </c>
      <c r="B4407">
        <v>23300.84</v>
      </c>
      <c r="C4407" t="s">
        <v>4615</v>
      </c>
    </row>
    <row r="4408" spans="1:3" x14ac:dyDescent="0.3">
      <c r="A4408" s="426">
        <v>44783</v>
      </c>
      <c r="B4408">
        <v>23146.97</v>
      </c>
      <c r="C4408" t="s">
        <v>4616</v>
      </c>
    </row>
    <row r="4409" spans="1:3" x14ac:dyDescent="0.3">
      <c r="A4409" s="426">
        <v>44784</v>
      </c>
      <c r="B4409">
        <v>24373.56</v>
      </c>
      <c r="C4409" t="s">
        <v>4617</v>
      </c>
    </row>
    <row r="4410" spans="1:3" x14ac:dyDescent="0.3">
      <c r="A4410" s="426">
        <v>44785</v>
      </c>
      <c r="B4410">
        <v>23986.84</v>
      </c>
      <c r="C4410" t="s">
        <v>4618</v>
      </c>
    </row>
    <row r="4411" spans="1:3" x14ac:dyDescent="0.3">
      <c r="A4411" s="426">
        <v>44786</v>
      </c>
      <c r="B4411">
        <v>24491.31</v>
      </c>
      <c r="C4411" t="s">
        <v>4619</v>
      </c>
    </row>
    <row r="4412" spans="1:3" x14ac:dyDescent="0.3">
      <c r="A4412" s="426">
        <v>44787</v>
      </c>
      <c r="B4412">
        <v>24534.28</v>
      </c>
      <c r="C4412" t="s">
        <v>4620</v>
      </c>
    </row>
    <row r="4413" spans="1:3" x14ac:dyDescent="0.3">
      <c r="A4413" s="426">
        <v>44788</v>
      </c>
      <c r="B4413">
        <v>24141.8</v>
      </c>
      <c r="C4413" t="s">
        <v>4621</v>
      </c>
    </row>
    <row r="4414" spans="1:3" x14ac:dyDescent="0.3">
      <c r="A4414" s="426">
        <v>44789</v>
      </c>
      <c r="B4414">
        <v>23996.32</v>
      </c>
      <c r="C4414" t="s">
        <v>4622</v>
      </c>
    </row>
    <row r="4415" spans="1:3" x14ac:dyDescent="0.3">
      <c r="A4415" s="426">
        <v>44790</v>
      </c>
      <c r="B4415">
        <v>23731.61</v>
      </c>
      <c r="C4415" t="s">
        <v>4623</v>
      </c>
    </row>
    <row r="4416" spans="1:3" x14ac:dyDescent="0.3">
      <c r="A4416" s="426">
        <v>44791</v>
      </c>
      <c r="B4416">
        <v>23429.83</v>
      </c>
      <c r="C4416" t="s">
        <v>4624</v>
      </c>
    </row>
    <row r="4417" spans="1:3" x14ac:dyDescent="0.3">
      <c r="A4417" s="426">
        <v>44792</v>
      </c>
      <c r="B4417">
        <v>21547.58</v>
      </c>
      <c r="C4417" t="s">
        <v>4625</v>
      </c>
    </row>
    <row r="4418" spans="1:3" x14ac:dyDescent="0.3">
      <c r="A4418" s="426">
        <v>44793</v>
      </c>
      <c r="B4418">
        <v>21204.27</v>
      </c>
      <c r="C4418" t="s">
        <v>4626</v>
      </c>
    </row>
    <row r="4419" spans="1:3" x14ac:dyDescent="0.3">
      <c r="A4419" s="426">
        <v>44794</v>
      </c>
      <c r="B4419">
        <v>21410.43</v>
      </c>
      <c r="C4419" t="s">
        <v>4627</v>
      </c>
    </row>
    <row r="4420" spans="1:3" x14ac:dyDescent="0.3">
      <c r="A4420" s="426">
        <v>44795</v>
      </c>
      <c r="B4420">
        <v>21266.74</v>
      </c>
      <c r="C4420" t="s">
        <v>4628</v>
      </c>
    </row>
    <row r="4421" spans="1:3" x14ac:dyDescent="0.3">
      <c r="A4421" s="426">
        <v>44796</v>
      </c>
      <c r="B4421">
        <v>21439.09</v>
      </c>
      <c r="C4421" t="s">
        <v>4629</v>
      </c>
    </row>
    <row r="4422" spans="1:3" x14ac:dyDescent="0.3">
      <c r="A4422" s="426">
        <v>44797</v>
      </c>
      <c r="B4422">
        <v>21445.83</v>
      </c>
      <c r="C4422" t="s">
        <v>4630</v>
      </c>
    </row>
    <row r="4423" spans="1:3" x14ac:dyDescent="0.3">
      <c r="A4423" s="426">
        <v>44798</v>
      </c>
      <c r="B4423">
        <v>21598.78</v>
      </c>
      <c r="C4423" t="s">
        <v>4631</v>
      </c>
    </row>
    <row r="4424" spans="1:3" x14ac:dyDescent="0.3">
      <c r="A4424" s="426">
        <v>44799</v>
      </c>
      <c r="B4424">
        <v>21420.38</v>
      </c>
      <c r="C4424" t="s">
        <v>4632</v>
      </c>
    </row>
    <row r="4425" spans="1:3" x14ac:dyDescent="0.3">
      <c r="A4425" s="426">
        <v>44800</v>
      </c>
      <c r="B4425">
        <v>20178.419999999998</v>
      </c>
      <c r="C4425" t="s">
        <v>4633</v>
      </c>
    </row>
    <row r="4426" spans="1:3" x14ac:dyDescent="0.3">
      <c r="A4426" s="426">
        <v>44801</v>
      </c>
      <c r="B4426">
        <v>20014.3</v>
      </c>
      <c r="C4426" t="s">
        <v>4634</v>
      </c>
    </row>
    <row r="4427" spans="1:3" x14ac:dyDescent="0.3">
      <c r="A4427" s="426">
        <v>44802</v>
      </c>
      <c r="B4427">
        <v>19907.939999999999</v>
      </c>
      <c r="C4427" t="s">
        <v>4635</v>
      </c>
    </row>
    <row r="4428" spans="1:3" x14ac:dyDescent="0.3">
      <c r="A4428" s="426">
        <v>44803</v>
      </c>
      <c r="B4428">
        <v>20230.27</v>
      </c>
      <c r="C4428" t="s">
        <v>4636</v>
      </c>
    </row>
    <row r="4429" spans="1:3" x14ac:dyDescent="0.3">
      <c r="A4429" s="426">
        <v>44804</v>
      </c>
      <c r="B4429">
        <v>20232.09</v>
      </c>
      <c r="C4429" t="s">
        <v>4637</v>
      </c>
    </row>
    <row r="4430" spans="1:3" x14ac:dyDescent="0.3">
      <c r="A4430" s="426">
        <v>44805</v>
      </c>
      <c r="B4430">
        <v>20012.53</v>
      </c>
      <c r="C4430" t="s">
        <v>4638</v>
      </c>
    </row>
    <row r="4431" spans="1:3" x14ac:dyDescent="0.3">
      <c r="A4431" s="426">
        <v>44806</v>
      </c>
      <c r="B4431">
        <v>20097.68</v>
      </c>
      <c r="C4431" t="s">
        <v>4639</v>
      </c>
    </row>
    <row r="4432" spans="1:3" x14ac:dyDescent="0.3">
      <c r="A4432" s="426">
        <v>44807</v>
      </c>
      <c r="B4432">
        <v>19827.62</v>
      </c>
      <c r="C4432" t="s">
        <v>4640</v>
      </c>
    </row>
    <row r="4433" spans="1:3" x14ac:dyDescent="0.3">
      <c r="A4433" s="426">
        <v>44808</v>
      </c>
      <c r="B4433">
        <v>19801.75</v>
      </c>
      <c r="C4433" t="s">
        <v>4641</v>
      </c>
    </row>
    <row r="4434" spans="1:3" x14ac:dyDescent="0.3">
      <c r="A4434" s="426">
        <v>44809</v>
      </c>
      <c r="B4434">
        <v>19777.41</v>
      </c>
      <c r="C4434" t="s">
        <v>4642</v>
      </c>
    </row>
    <row r="4435" spans="1:3" x14ac:dyDescent="0.3">
      <c r="A4435" s="426">
        <v>44810</v>
      </c>
      <c r="B4435">
        <v>19808.919999999998</v>
      </c>
      <c r="C4435" t="s">
        <v>4643</v>
      </c>
    </row>
    <row r="4436" spans="1:3" x14ac:dyDescent="0.3">
      <c r="A4436" s="426">
        <v>44811</v>
      </c>
      <c r="B4436">
        <v>18831.22</v>
      </c>
      <c r="C4436" t="s">
        <v>4644</v>
      </c>
    </row>
    <row r="4437" spans="1:3" x14ac:dyDescent="0.3">
      <c r="A4437" s="426">
        <v>44812</v>
      </c>
      <c r="B4437">
        <v>19274</v>
      </c>
      <c r="C4437" t="s">
        <v>4645</v>
      </c>
    </row>
    <row r="4438" spans="1:3" x14ac:dyDescent="0.3">
      <c r="A4438" s="426">
        <v>44813</v>
      </c>
      <c r="B4438">
        <v>20985.94</v>
      </c>
      <c r="C4438" t="s">
        <v>4646</v>
      </c>
    </row>
    <row r="4439" spans="1:3" x14ac:dyDescent="0.3">
      <c r="A4439" s="426">
        <v>44814</v>
      </c>
      <c r="B4439">
        <v>21346.68</v>
      </c>
      <c r="C4439" t="s">
        <v>4647</v>
      </c>
    </row>
    <row r="4440" spans="1:3" x14ac:dyDescent="0.3">
      <c r="A4440" s="426">
        <v>44815</v>
      </c>
      <c r="B4440">
        <v>21609.43</v>
      </c>
      <c r="C4440" t="s">
        <v>4648</v>
      </c>
    </row>
    <row r="4441" spans="1:3" x14ac:dyDescent="0.3">
      <c r="A4441" s="426">
        <v>44816</v>
      </c>
      <c r="B4441">
        <v>22234.09</v>
      </c>
      <c r="C4441" t="s">
        <v>4649</v>
      </c>
    </row>
    <row r="4442" spans="1:3" x14ac:dyDescent="0.3">
      <c r="A4442" s="426">
        <v>44817</v>
      </c>
      <c r="B4442">
        <v>22209.05</v>
      </c>
      <c r="C4442" t="s">
        <v>4650</v>
      </c>
    </row>
    <row r="4443" spans="1:3" x14ac:dyDescent="0.3">
      <c r="A4443" s="426">
        <v>44818</v>
      </c>
      <c r="B4443">
        <v>20271.68</v>
      </c>
      <c r="C4443" t="s">
        <v>4651</v>
      </c>
    </row>
    <row r="4444" spans="1:3" x14ac:dyDescent="0.3">
      <c r="A4444" s="426">
        <v>44819</v>
      </c>
      <c r="B4444">
        <v>20080.54</v>
      </c>
      <c r="C4444" t="s">
        <v>4652</v>
      </c>
    </row>
    <row r="4445" spans="1:3" x14ac:dyDescent="0.3">
      <c r="A4445" s="426">
        <v>44820</v>
      </c>
      <c r="B4445">
        <v>19745.16</v>
      </c>
      <c r="C4445" t="s">
        <v>4653</v>
      </c>
    </row>
    <row r="4446" spans="1:3" x14ac:dyDescent="0.3">
      <c r="A4446" s="426">
        <v>44821</v>
      </c>
      <c r="B4446">
        <v>19932.79</v>
      </c>
      <c r="C4446" t="s">
        <v>4654</v>
      </c>
    </row>
    <row r="4447" spans="1:3" x14ac:dyDescent="0.3">
      <c r="A4447" s="426">
        <v>44822</v>
      </c>
      <c r="B4447">
        <v>19930.46</v>
      </c>
      <c r="C4447" t="s">
        <v>4655</v>
      </c>
    </row>
    <row r="4448" spans="1:3" x14ac:dyDescent="0.3">
      <c r="A4448" s="426">
        <v>44823</v>
      </c>
      <c r="B4448">
        <v>19002.07</v>
      </c>
      <c r="C4448" t="s">
        <v>4656</v>
      </c>
    </row>
    <row r="4449" spans="1:3" x14ac:dyDescent="0.3">
      <c r="A4449" s="426">
        <v>44824</v>
      </c>
      <c r="B4449">
        <v>19236.41</v>
      </c>
      <c r="C4449" t="s">
        <v>4657</v>
      </c>
    </row>
    <row r="4450" spans="1:3" x14ac:dyDescent="0.3">
      <c r="A4450" s="426">
        <v>44825</v>
      </c>
      <c r="B4450">
        <v>19004.740000000002</v>
      </c>
      <c r="C4450" t="s">
        <v>4658</v>
      </c>
    </row>
    <row r="4451" spans="1:3" x14ac:dyDescent="0.3">
      <c r="A4451" s="426">
        <v>44826</v>
      </c>
      <c r="B4451">
        <v>19011.349999999999</v>
      </c>
      <c r="C4451" t="s">
        <v>4659</v>
      </c>
    </row>
    <row r="4452" spans="1:3" x14ac:dyDescent="0.3">
      <c r="A4452" s="426">
        <v>44827</v>
      </c>
      <c r="B4452">
        <v>19060.36</v>
      </c>
      <c r="C4452" t="s">
        <v>4660</v>
      </c>
    </row>
    <row r="4453" spans="1:3" x14ac:dyDescent="0.3">
      <c r="A4453" s="426">
        <v>44828</v>
      </c>
      <c r="B4453">
        <v>19098.27</v>
      </c>
      <c r="C4453" t="s">
        <v>4661</v>
      </c>
    </row>
    <row r="4454" spans="1:3" x14ac:dyDescent="0.3">
      <c r="A4454" s="426">
        <v>44829</v>
      </c>
      <c r="B4454">
        <v>18999.63</v>
      </c>
      <c r="C4454" t="s">
        <v>4662</v>
      </c>
    </row>
    <row r="4455" spans="1:3" x14ac:dyDescent="0.3">
      <c r="A4455" s="426">
        <v>44830</v>
      </c>
      <c r="B4455">
        <v>19082.099999999999</v>
      </c>
      <c r="C4455" t="s">
        <v>4663</v>
      </c>
    </row>
    <row r="4456" spans="1:3" x14ac:dyDescent="0.3">
      <c r="A4456" s="426">
        <v>44831</v>
      </c>
      <c r="B4456">
        <v>20045.13</v>
      </c>
      <c r="C4456" t="s">
        <v>4664</v>
      </c>
    </row>
    <row r="4457" spans="1:3" x14ac:dyDescent="0.3">
      <c r="A4457" s="426">
        <v>44832</v>
      </c>
      <c r="B4457">
        <v>19116.72</v>
      </c>
      <c r="C4457" t="s">
        <v>4665</v>
      </c>
    </row>
    <row r="4458" spans="1:3" x14ac:dyDescent="0.3">
      <c r="A4458" s="426">
        <v>44833</v>
      </c>
      <c r="B4458">
        <v>19439.3</v>
      </c>
      <c r="C4458" t="s">
        <v>4666</v>
      </c>
    </row>
    <row r="4459" spans="1:3" x14ac:dyDescent="0.3">
      <c r="A4459" s="426">
        <v>44834</v>
      </c>
      <c r="B4459">
        <v>19483.7</v>
      </c>
      <c r="C4459" t="s">
        <v>4667</v>
      </c>
    </row>
    <row r="4460" spans="1:3" x14ac:dyDescent="0.3">
      <c r="A4460" s="426">
        <v>44835</v>
      </c>
      <c r="B4460">
        <v>19325.03</v>
      </c>
      <c r="C4460" t="s">
        <v>4668</v>
      </c>
    </row>
    <row r="4461" spans="1:3" x14ac:dyDescent="0.3">
      <c r="A4461" s="426">
        <v>44836</v>
      </c>
      <c r="B4461">
        <v>19254.689999999999</v>
      </c>
      <c r="C4461" t="s">
        <v>4669</v>
      </c>
    </row>
    <row r="4462" spans="1:3" x14ac:dyDescent="0.3">
      <c r="A4462" s="426">
        <v>44837</v>
      </c>
      <c r="B4462">
        <v>19227.939999999999</v>
      </c>
      <c r="C4462" t="s">
        <v>4670</v>
      </c>
    </row>
    <row r="4463" spans="1:3" x14ac:dyDescent="0.3">
      <c r="A4463" s="426">
        <v>44838</v>
      </c>
      <c r="B4463">
        <v>19956.330000000002</v>
      </c>
      <c r="C4463" t="s">
        <v>4671</v>
      </c>
    </row>
    <row r="4464" spans="1:3" x14ac:dyDescent="0.3">
      <c r="A4464" s="426">
        <v>44839</v>
      </c>
      <c r="B4464">
        <v>20160.36</v>
      </c>
      <c r="C4464" t="s">
        <v>4672</v>
      </c>
    </row>
    <row r="4465" spans="1:3" x14ac:dyDescent="0.3">
      <c r="A4465" s="426">
        <v>44840</v>
      </c>
      <c r="B4465">
        <v>20143.060000000001</v>
      </c>
      <c r="C4465" t="s">
        <v>4673</v>
      </c>
    </row>
    <row r="4466" spans="1:3" x14ac:dyDescent="0.3">
      <c r="A4466" s="426">
        <v>44841</v>
      </c>
      <c r="B4466">
        <v>19914.7</v>
      </c>
      <c r="C4466" t="s">
        <v>4674</v>
      </c>
    </row>
    <row r="4467" spans="1:3" x14ac:dyDescent="0.3">
      <c r="A4467" s="426">
        <v>44842</v>
      </c>
      <c r="B4467">
        <v>19502.46</v>
      </c>
      <c r="C4467" t="s">
        <v>4675</v>
      </c>
    </row>
    <row r="4468" spans="1:3" x14ac:dyDescent="0.3">
      <c r="A4468" s="426">
        <v>44843</v>
      </c>
      <c r="B4468">
        <v>19436.55</v>
      </c>
      <c r="C4468" t="s">
        <v>4676</v>
      </c>
    </row>
    <row r="4469" spans="1:3" x14ac:dyDescent="0.3">
      <c r="A4469" s="426">
        <v>44844</v>
      </c>
      <c r="B4469">
        <v>19325.669999999998</v>
      </c>
      <c r="C4469" t="s">
        <v>4677</v>
      </c>
    </row>
    <row r="4470" spans="1:3" x14ac:dyDescent="0.3">
      <c r="A4470" s="426">
        <v>44845</v>
      </c>
      <c r="B4470">
        <v>19068.759999999998</v>
      </c>
      <c r="C4470" t="s">
        <v>4678</v>
      </c>
    </row>
    <row r="4471" spans="1:3" x14ac:dyDescent="0.3">
      <c r="A4471" s="426">
        <v>44846</v>
      </c>
      <c r="B4471">
        <v>19117.89</v>
      </c>
      <c r="C4471" t="s">
        <v>4679</v>
      </c>
    </row>
    <row r="4472" spans="1:3" x14ac:dyDescent="0.3">
      <c r="A4472" s="426">
        <v>44847</v>
      </c>
      <c r="B4472">
        <v>19095.64</v>
      </c>
      <c r="C4472" t="s">
        <v>4680</v>
      </c>
    </row>
    <row r="4473" spans="1:3" x14ac:dyDescent="0.3">
      <c r="A4473" s="426">
        <v>44848</v>
      </c>
      <c r="B4473">
        <v>19599.509999999998</v>
      </c>
      <c r="C4473" t="s">
        <v>4681</v>
      </c>
    </row>
    <row r="4474" spans="1:3" x14ac:dyDescent="0.3">
      <c r="A4474" s="426">
        <v>44849</v>
      </c>
      <c r="B4474">
        <v>19150.060000000001</v>
      </c>
      <c r="C4474" t="s">
        <v>4682</v>
      </c>
    </row>
    <row r="4475" spans="1:3" x14ac:dyDescent="0.3">
      <c r="A4475" s="426">
        <v>44850</v>
      </c>
      <c r="B4475">
        <v>19143.509999999998</v>
      </c>
      <c r="C4475" t="s">
        <v>4683</v>
      </c>
    </row>
    <row r="4476" spans="1:3" x14ac:dyDescent="0.3">
      <c r="A4476" s="426">
        <v>44851</v>
      </c>
      <c r="B4476">
        <v>19464.419999999998</v>
      </c>
      <c r="C4476" t="s">
        <v>4684</v>
      </c>
    </row>
    <row r="4477" spans="1:3" x14ac:dyDescent="0.3">
      <c r="A4477" s="426">
        <v>44852</v>
      </c>
      <c r="B4477">
        <v>19533.509999999998</v>
      </c>
      <c r="C4477" t="s">
        <v>4685</v>
      </c>
    </row>
    <row r="4478" spans="1:3" x14ac:dyDescent="0.3">
      <c r="A4478" s="426">
        <v>44853</v>
      </c>
      <c r="B4478">
        <v>19209.47</v>
      </c>
      <c r="C4478" t="s">
        <v>4686</v>
      </c>
    </row>
    <row r="4479" spans="1:3" x14ac:dyDescent="0.3">
      <c r="A4479" s="426">
        <v>44854</v>
      </c>
      <c r="B4479">
        <v>19142.18</v>
      </c>
      <c r="C4479" t="s">
        <v>4687</v>
      </c>
    </row>
    <row r="4480" spans="1:3" x14ac:dyDescent="0.3">
      <c r="A4480" s="426">
        <v>44855</v>
      </c>
      <c r="B4480">
        <v>19067.02</v>
      </c>
      <c r="C4480" t="s">
        <v>4688</v>
      </c>
    </row>
    <row r="4481" spans="1:3" x14ac:dyDescent="0.3">
      <c r="A4481" s="426">
        <v>44856</v>
      </c>
      <c r="B4481">
        <v>19175.78</v>
      </c>
      <c r="C4481" t="s">
        <v>4689</v>
      </c>
    </row>
    <row r="4482" spans="1:3" x14ac:dyDescent="0.3">
      <c r="A4482" s="426">
        <v>44857</v>
      </c>
      <c r="B4482">
        <v>19190.79</v>
      </c>
      <c r="C4482" t="s">
        <v>4690</v>
      </c>
    </row>
    <row r="4483" spans="1:3" x14ac:dyDescent="0.3">
      <c r="A4483" s="426">
        <v>44858</v>
      </c>
      <c r="B4483">
        <v>19345.57</v>
      </c>
      <c r="C4483" t="s">
        <v>4691</v>
      </c>
    </row>
    <row r="4484" spans="1:3" x14ac:dyDescent="0.3">
      <c r="A4484" s="426">
        <v>44859</v>
      </c>
      <c r="B4484">
        <v>19345.099999999999</v>
      </c>
      <c r="C4484" t="s">
        <v>4692</v>
      </c>
    </row>
    <row r="4485" spans="1:3" x14ac:dyDescent="0.3">
      <c r="A4485" s="426">
        <v>44860</v>
      </c>
      <c r="B4485">
        <v>20618.79</v>
      </c>
      <c r="C4485" t="s">
        <v>4693</v>
      </c>
    </row>
    <row r="4486" spans="1:3" x14ac:dyDescent="0.3">
      <c r="A4486" s="426">
        <v>44861</v>
      </c>
      <c r="B4486">
        <v>20631.419999999998</v>
      </c>
      <c r="C4486" t="s">
        <v>4694</v>
      </c>
    </row>
    <row r="4487" spans="1:3" x14ac:dyDescent="0.3">
      <c r="A4487" s="426">
        <v>44862</v>
      </c>
      <c r="B4487">
        <v>20296.8</v>
      </c>
      <c r="C4487" t="s">
        <v>4695</v>
      </c>
    </row>
    <row r="4488" spans="1:3" x14ac:dyDescent="0.3">
      <c r="A4488" s="426">
        <v>44863</v>
      </c>
      <c r="B4488">
        <v>20786.990000000002</v>
      </c>
      <c r="C4488" t="s">
        <v>4696</v>
      </c>
    </row>
    <row r="4489" spans="1:3" x14ac:dyDescent="0.3">
      <c r="A4489" s="426">
        <v>44864</v>
      </c>
      <c r="B4489">
        <v>20716.419999999998</v>
      </c>
      <c r="C4489" t="s">
        <v>4697</v>
      </c>
    </row>
    <row r="4490" spans="1:3" x14ac:dyDescent="0.3">
      <c r="A4490" s="426">
        <v>44865</v>
      </c>
      <c r="B4490">
        <v>20497.37</v>
      </c>
      <c r="C4490" t="s">
        <v>4698</v>
      </c>
    </row>
    <row r="4491" spans="1:3" x14ac:dyDescent="0.3">
      <c r="A4491" s="426">
        <v>44866</v>
      </c>
      <c r="B4491">
        <v>20497.98</v>
      </c>
      <c r="C4491" t="s">
        <v>4699</v>
      </c>
    </row>
    <row r="4492" spans="1:3" x14ac:dyDescent="0.3">
      <c r="A4492" s="426">
        <v>44867</v>
      </c>
      <c r="B4492">
        <v>20438.830000000002</v>
      </c>
      <c r="C4492" t="s">
        <v>4700</v>
      </c>
    </row>
    <row r="4493" spans="1:3" x14ac:dyDescent="0.3">
      <c r="A4493" s="426">
        <v>44868</v>
      </c>
      <c r="B4493">
        <v>20266.39</v>
      </c>
      <c r="C4493" t="s">
        <v>4701</v>
      </c>
    </row>
    <row r="4494" spans="1:3" x14ac:dyDescent="0.3">
      <c r="A4494" s="426">
        <v>44869</v>
      </c>
      <c r="B4494">
        <v>20617.79</v>
      </c>
      <c r="C4494" t="s">
        <v>4702</v>
      </c>
    </row>
    <row r="4495" spans="1:3" x14ac:dyDescent="0.3">
      <c r="A4495" s="426">
        <v>44870</v>
      </c>
      <c r="B4495">
        <v>21324.02</v>
      </c>
      <c r="C4495" t="s">
        <v>4703</v>
      </c>
    </row>
    <row r="4496" spans="1:3" x14ac:dyDescent="0.3">
      <c r="A4496" s="426">
        <v>44871</v>
      </c>
      <c r="B4496">
        <v>21227.87</v>
      </c>
      <c r="C4496" t="s">
        <v>4704</v>
      </c>
    </row>
    <row r="4497" spans="1:3" x14ac:dyDescent="0.3">
      <c r="A4497" s="426">
        <v>44872</v>
      </c>
      <c r="B4497">
        <v>20768.099999999999</v>
      </c>
      <c r="C4497" t="s">
        <v>4705</v>
      </c>
    </row>
    <row r="4498" spans="1:3" x14ac:dyDescent="0.3">
      <c r="A4498" s="426">
        <v>44873</v>
      </c>
      <c r="B4498">
        <v>19717.79</v>
      </c>
      <c r="C4498" t="s">
        <v>4706</v>
      </c>
    </row>
    <row r="4499" spans="1:3" x14ac:dyDescent="0.3">
      <c r="A4499" s="426">
        <v>44874</v>
      </c>
      <c r="B4499">
        <v>17733.36</v>
      </c>
      <c r="C4499" t="s">
        <v>4707</v>
      </c>
    </row>
    <row r="4500" spans="1:3" x14ac:dyDescent="0.3">
      <c r="A4500" s="426">
        <v>44875</v>
      </c>
      <c r="B4500">
        <v>16732.54</v>
      </c>
      <c r="C4500" t="s">
        <v>4708</v>
      </c>
    </row>
    <row r="4501" spans="1:3" x14ac:dyDescent="0.3">
      <c r="A4501" s="426">
        <v>44876</v>
      </c>
      <c r="B4501">
        <v>17148.2</v>
      </c>
      <c r="C4501" t="s">
        <v>4709</v>
      </c>
    </row>
    <row r="4502" spans="1:3" x14ac:dyDescent="0.3">
      <c r="A4502" s="426">
        <v>44877</v>
      </c>
      <c r="B4502">
        <v>16844.47</v>
      </c>
      <c r="C4502" t="s">
        <v>4710</v>
      </c>
    </row>
    <row r="4503" spans="1:3" x14ac:dyDescent="0.3">
      <c r="A4503" s="426">
        <v>44878</v>
      </c>
      <c r="B4503">
        <v>16632.86</v>
      </c>
      <c r="C4503" t="s">
        <v>4711</v>
      </c>
    </row>
    <row r="4504" spans="1:3" x14ac:dyDescent="0.3">
      <c r="A4504" s="426">
        <v>44879</v>
      </c>
      <c r="B4504">
        <v>16545.68</v>
      </c>
      <c r="C4504" t="s">
        <v>4712</v>
      </c>
    </row>
    <row r="4505" spans="1:3" x14ac:dyDescent="0.3">
      <c r="A4505" s="426">
        <v>44880</v>
      </c>
      <c r="B4505">
        <v>16822.38</v>
      </c>
      <c r="C4505" t="s">
        <v>4713</v>
      </c>
    </row>
    <row r="4506" spans="1:3" x14ac:dyDescent="0.3">
      <c r="A4506" s="426">
        <v>44881</v>
      </c>
      <c r="B4506">
        <v>16692.71</v>
      </c>
      <c r="C4506" t="s">
        <v>4714</v>
      </c>
    </row>
    <row r="4507" spans="1:3" x14ac:dyDescent="0.3">
      <c r="A4507" s="426">
        <v>44882</v>
      </c>
      <c r="B4507">
        <v>16599.849999999999</v>
      </c>
      <c r="C4507" t="s">
        <v>4715</v>
      </c>
    </row>
    <row r="4508" spans="1:3" x14ac:dyDescent="0.3">
      <c r="A4508" s="426">
        <v>44883</v>
      </c>
      <c r="B4508">
        <v>16750.54</v>
      </c>
      <c r="C4508" t="s">
        <v>4716</v>
      </c>
    </row>
    <row r="4509" spans="1:3" x14ac:dyDescent="0.3">
      <c r="A4509" s="426">
        <v>44884</v>
      </c>
      <c r="B4509">
        <v>16640.5</v>
      </c>
      <c r="C4509" t="s">
        <v>4717</v>
      </c>
    </row>
    <row r="4510" spans="1:3" x14ac:dyDescent="0.3">
      <c r="A4510" s="426">
        <v>44885</v>
      </c>
      <c r="B4510">
        <v>16581.8</v>
      </c>
      <c r="C4510" t="s">
        <v>4718</v>
      </c>
    </row>
    <row r="4511" spans="1:3" x14ac:dyDescent="0.3">
      <c r="A4511" s="426">
        <v>44886</v>
      </c>
      <c r="B4511">
        <v>16060.51</v>
      </c>
      <c r="C4511" t="s">
        <v>4719</v>
      </c>
    </row>
    <row r="4512" spans="1:3" x14ac:dyDescent="0.3">
      <c r="A4512" s="426">
        <v>44887</v>
      </c>
      <c r="B4512">
        <v>15876.66</v>
      </c>
      <c r="C4512" t="s">
        <v>4720</v>
      </c>
    </row>
    <row r="4513" spans="1:3" x14ac:dyDescent="0.3">
      <c r="A4513" s="426">
        <v>44888</v>
      </c>
      <c r="B4513">
        <v>16494.240000000002</v>
      </c>
      <c r="C4513" t="s">
        <v>4721</v>
      </c>
    </row>
    <row r="4514" spans="1:3" x14ac:dyDescent="0.3">
      <c r="A4514" s="426">
        <v>44889</v>
      </c>
      <c r="B4514">
        <v>16586.11</v>
      </c>
      <c r="C4514" t="s">
        <v>4722</v>
      </c>
    </row>
    <row r="4515" spans="1:3" x14ac:dyDescent="0.3">
      <c r="A4515" s="426">
        <v>44890</v>
      </c>
      <c r="B4515">
        <v>16510.259999999998</v>
      </c>
      <c r="C4515" t="s">
        <v>4723</v>
      </c>
    </row>
    <row r="4516" spans="1:3" x14ac:dyDescent="0.3">
      <c r="A4516" s="426">
        <v>44891</v>
      </c>
      <c r="B4516">
        <v>16582.66</v>
      </c>
      <c r="C4516" t="s">
        <v>4724</v>
      </c>
    </row>
    <row r="4517" spans="1:3" x14ac:dyDescent="0.3">
      <c r="A4517" s="426">
        <v>44892</v>
      </c>
      <c r="B4517">
        <v>16551.25</v>
      </c>
      <c r="C4517" t="s">
        <v>4725</v>
      </c>
    </row>
    <row r="4518" spans="1:3" x14ac:dyDescent="0.3">
      <c r="A4518" s="426">
        <v>44893</v>
      </c>
      <c r="B4518">
        <v>16215.37</v>
      </c>
      <c r="C4518" t="s">
        <v>4726</v>
      </c>
    </row>
    <row r="4519" spans="1:3" x14ac:dyDescent="0.3">
      <c r="A4519" s="426">
        <v>44894</v>
      </c>
      <c r="B4519">
        <v>16449</v>
      </c>
      <c r="C4519" t="s">
        <v>4727</v>
      </c>
    </row>
    <row r="4520" spans="1:3" x14ac:dyDescent="0.3">
      <c r="A4520" s="426">
        <v>44895</v>
      </c>
      <c r="B4520">
        <v>16884.53</v>
      </c>
      <c r="C4520" t="s">
        <v>4728</v>
      </c>
    </row>
    <row r="4521" spans="1:3" x14ac:dyDescent="0.3">
      <c r="A4521" s="426">
        <v>44896</v>
      </c>
      <c r="B4521">
        <v>17099.82</v>
      </c>
      <c r="C4521" t="s">
        <v>4729</v>
      </c>
    </row>
    <row r="4522" spans="1:3" x14ac:dyDescent="0.3">
      <c r="A4522" s="426">
        <v>44897</v>
      </c>
      <c r="B4522">
        <v>16961.849999999999</v>
      </c>
      <c r="C4522" t="s">
        <v>4730</v>
      </c>
    </row>
    <row r="4523" spans="1:3" x14ac:dyDescent="0.3">
      <c r="A4523" s="426">
        <v>44898</v>
      </c>
      <c r="B4523">
        <v>16973.689999999999</v>
      </c>
      <c r="C4523" t="s">
        <v>4731</v>
      </c>
    </row>
    <row r="4524" spans="1:3" x14ac:dyDescent="0.3">
      <c r="A4524" s="426">
        <v>44899</v>
      </c>
      <c r="B4524">
        <v>17016.43</v>
      </c>
      <c r="C4524" t="s">
        <v>4732</v>
      </c>
    </row>
    <row r="4525" spans="1:3" x14ac:dyDescent="0.3">
      <c r="A4525" s="426">
        <v>44900</v>
      </c>
      <c r="B4525">
        <v>17227.03</v>
      </c>
      <c r="C4525" t="s">
        <v>4733</v>
      </c>
    </row>
    <row r="4526" spans="1:3" x14ac:dyDescent="0.3">
      <c r="A4526" s="426">
        <v>44901</v>
      </c>
      <c r="B4526">
        <v>17005.71</v>
      </c>
      <c r="C4526" t="s">
        <v>4734</v>
      </c>
    </row>
    <row r="4527" spans="1:3" x14ac:dyDescent="0.3">
      <c r="A4527" s="426">
        <v>44902</v>
      </c>
      <c r="B4527">
        <v>16836.84</v>
      </c>
      <c r="C4527" t="s">
        <v>4735</v>
      </c>
    </row>
    <row r="4528" spans="1:3" x14ac:dyDescent="0.3">
      <c r="A4528" s="426">
        <v>44903</v>
      </c>
      <c r="B4528">
        <v>16854.07</v>
      </c>
      <c r="C4528" t="s">
        <v>4736</v>
      </c>
    </row>
    <row r="4529" spans="1:3" x14ac:dyDescent="0.3">
      <c r="A4529" s="426">
        <v>44904</v>
      </c>
      <c r="B4529">
        <v>17210.990000000002</v>
      </c>
      <c r="C4529" t="s">
        <v>4737</v>
      </c>
    </row>
    <row r="4530" spans="1:3" x14ac:dyDescent="0.3">
      <c r="A4530" s="426">
        <v>44905</v>
      </c>
      <c r="B4530">
        <v>17160.59</v>
      </c>
      <c r="C4530" t="s">
        <v>4738</v>
      </c>
    </row>
    <row r="4531" spans="1:3" x14ac:dyDescent="0.3">
      <c r="A4531" s="426">
        <v>44906</v>
      </c>
      <c r="B4531">
        <v>17167.2</v>
      </c>
      <c r="C4531" t="s">
        <v>4739</v>
      </c>
    </row>
    <row r="4532" spans="1:3" x14ac:dyDescent="0.3">
      <c r="A4532" s="426">
        <v>44907</v>
      </c>
      <c r="B4532">
        <v>16990.2</v>
      </c>
      <c r="C4532" t="s">
        <v>4740</v>
      </c>
    </row>
    <row r="4533" spans="1:3" x14ac:dyDescent="0.3">
      <c r="A4533" s="426">
        <v>44908</v>
      </c>
      <c r="B4533">
        <v>17438.98</v>
      </c>
      <c r="C4533" t="s">
        <v>4741</v>
      </c>
    </row>
    <row r="4534" spans="1:3" x14ac:dyDescent="0.3">
      <c r="A4534" s="426">
        <v>44909</v>
      </c>
      <c r="B4534">
        <v>17822.77</v>
      </c>
      <c r="C4534" t="s">
        <v>4742</v>
      </c>
    </row>
    <row r="4535" spans="1:3" x14ac:dyDescent="0.3">
      <c r="A4535" s="426">
        <v>44910</v>
      </c>
      <c r="B4535">
        <v>17668.38</v>
      </c>
      <c r="C4535" t="s">
        <v>4743</v>
      </c>
    </row>
    <row r="4536" spans="1:3" x14ac:dyDescent="0.3">
      <c r="A4536" s="426">
        <v>44911</v>
      </c>
      <c r="B4536">
        <v>17026.61</v>
      </c>
      <c r="C4536" t="s">
        <v>4744</v>
      </c>
    </row>
    <row r="4537" spans="1:3" x14ac:dyDescent="0.3">
      <c r="A4537" s="426">
        <v>44912</v>
      </c>
      <c r="B4537">
        <v>16718.310000000001</v>
      </c>
      <c r="C4537" t="s">
        <v>4745</v>
      </c>
    </row>
    <row r="4538" spans="1:3" x14ac:dyDescent="0.3">
      <c r="A4538" s="426">
        <v>44913</v>
      </c>
      <c r="B4538">
        <v>16745.62</v>
      </c>
      <c r="C4538" t="s">
        <v>4746</v>
      </c>
    </row>
    <row r="4539" spans="1:3" x14ac:dyDescent="0.3">
      <c r="A4539" s="426">
        <v>44914</v>
      </c>
      <c r="B4539">
        <v>16727.509999999998</v>
      </c>
      <c r="C4539" t="s">
        <v>4747</v>
      </c>
    </row>
    <row r="4540" spans="1:3" x14ac:dyDescent="0.3">
      <c r="A4540" s="426">
        <v>44915</v>
      </c>
      <c r="B4540">
        <v>16819.57</v>
      </c>
      <c r="C4540" t="s">
        <v>4748</v>
      </c>
    </row>
    <row r="4541" spans="1:3" x14ac:dyDescent="0.3">
      <c r="A4541" s="426">
        <v>44916</v>
      </c>
      <c r="B4541">
        <v>16842.29</v>
      </c>
      <c r="C4541" t="s">
        <v>4749</v>
      </c>
    </row>
    <row r="4542" spans="1:3" x14ac:dyDescent="0.3">
      <c r="A4542" s="426">
        <v>44917</v>
      </c>
      <c r="B4542">
        <v>16827.490000000002</v>
      </c>
      <c r="C4542" t="s">
        <v>4750</v>
      </c>
    </row>
    <row r="4543" spans="1:3" x14ac:dyDescent="0.3">
      <c r="A4543" s="426">
        <v>44918</v>
      </c>
      <c r="B4543">
        <v>16841.59</v>
      </c>
      <c r="C4543" t="s">
        <v>4751</v>
      </c>
    </row>
    <row r="4544" spans="1:3" x14ac:dyDescent="0.3">
      <c r="A4544" s="426">
        <v>44919</v>
      </c>
      <c r="B4544">
        <v>16844.41</v>
      </c>
      <c r="C4544" t="s">
        <v>4752</v>
      </c>
    </row>
    <row r="4545" spans="1:3" x14ac:dyDescent="0.3">
      <c r="A4545" s="426">
        <v>44920</v>
      </c>
      <c r="B4545">
        <v>16833.419999999998</v>
      </c>
      <c r="C4545" t="s">
        <v>4753</v>
      </c>
    </row>
    <row r="4546" spans="1:3" x14ac:dyDescent="0.3">
      <c r="A4546" s="426">
        <v>44921</v>
      </c>
      <c r="B4546">
        <v>16854.2</v>
      </c>
      <c r="C4546" t="s">
        <v>4754</v>
      </c>
    </row>
    <row r="4547" spans="1:3" x14ac:dyDescent="0.3">
      <c r="A4547" s="426">
        <v>44922</v>
      </c>
      <c r="B4547">
        <v>16845.96</v>
      </c>
      <c r="C4547" t="s">
        <v>4755</v>
      </c>
    </row>
    <row r="4548" spans="1:3" x14ac:dyDescent="0.3">
      <c r="A4548" s="426">
        <v>44923</v>
      </c>
      <c r="B4548">
        <v>16655.43</v>
      </c>
      <c r="C4548" t="s">
        <v>4756</v>
      </c>
    </row>
    <row r="4549" spans="1:3" x14ac:dyDescent="0.3">
      <c r="A4549" s="426">
        <v>44924</v>
      </c>
      <c r="B4549">
        <v>16602.09</v>
      </c>
      <c r="C4549" t="s">
        <v>4757</v>
      </c>
    </row>
    <row r="4550" spans="1:3" x14ac:dyDescent="0.3">
      <c r="A4550" s="426">
        <v>44925</v>
      </c>
      <c r="B4550">
        <v>16545.36</v>
      </c>
      <c r="C4550" t="s">
        <v>4758</v>
      </c>
    </row>
    <row r="4551" spans="1:3" x14ac:dyDescent="0.3">
      <c r="A4551" s="426">
        <v>44926</v>
      </c>
      <c r="B4551">
        <v>16573.36</v>
      </c>
      <c r="C4551" t="s">
        <v>4759</v>
      </c>
    </row>
    <row r="4552" spans="1:3" x14ac:dyDescent="0.3">
      <c r="A4552" s="426">
        <v>44927</v>
      </c>
      <c r="B4552">
        <v>16556.23</v>
      </c>
      <c r="C4552" t="s">
        <v>4760</v>
      </c>
    </row>
    <row r="4553" spans="1:3" x14ac:dyDescent="0.3">
      <c r="A4553" s="426">
        <v>44928</v>
      </c>
      <c r="B4553">
        <v>16723.07</v>
      </c>
      <c r="C4553" t="s">
        <v>4761</v>
      </c>
    </row>
    <row r="4554" spans="1:3" x14ac:dyDescent="0.3">
      <c r="A4554" s="426">
        <v>44929</v>
      </c>
      <c r="B4554">
        <v>16693.060000000001</v>
      </c>
      <c r="C4554" t="s">
        <v>4762</v>
      </c>
    </row>
    <row r="4555" spans="1:3" x14ac:dyDescent="0.3">
      <c r="A4555" s="426">
        <v>44930</v>
      </c>
      <c r="B4555">
        <v>16848.16</v>
      </c>
      <c r="C4555" t="s">
        <v>4763</v>
      </c>
    </row>
    <row r="4556" spans="1:3" x14ac:dyDescent="0.3">
      <c r="A4556" s="426">
        <v>44931</v>
      </c>
      <c r="B4556">
        <v>16840.13</v>
      </c>
      <c r="C4556" t="s">
        <v>4764</v>
      </c>
    </row>
    <row r="4557" spans="1:3" x14ac:dyDescent="0.3">
      <c r="A4557" s="426">
        <v>44932</v>
      </c>
      <c r="B4557">
        <v>16821.400000000001</v>
      </c>
      <c r="C4557" t="s">
        <v>4765</v>
      </c>
    </row>
    <row r="4558" spans="1:3" x14ac:dyDescent="0.3">
      <c r="A4558" s="426">
        <v>44933</v>
      </c>
      <c r="B4558">
        <v>16943.75</v>
      </c>
      <c r="C4558" t="s">
        <v>4766</v>
      </c>
    </row>
    <row r="4559" spans="1:3" x14ac:dyDescent="0.3">
      <c r="A4559" s="426">
        <v>44934</v>
      </c>
      <c r="B4559">
        <v>16945.46</v>
      </c>
      <c r="C4559" t="s">
        <v>4767</v>
      </c>
    </row>
    <row r="4560" spans="1:3" x14ac:dyDescent="0.3">
      <c r="A4560" s="426">
        <v>44935</v>
      </c>
      <c r="B4560">
        <v>17231.87</v>
      </c>
      <c r="C4560" t="s">
        <v>4768</v>
      </c>
    </row>
    <row r="4561" spans="1:3" x14ac:dyDescent="0.3">
      <c r="A4561" s="426">
        <v>44936</v>
      </c>
      <c r="B4561">
        <v>17263.150000000001</v>
      </c>
      <c r="C4561" t="s">
        <v>4769</v>
      </c>
    </row>
    <row r="4562" spans="1:3" x14ac:dyDescent="0.3">
      <c r="A4562" s="426">
        <v>44937</v>
      </c>
      <c r="B4562">
        <v>17443.21</v>
      </c>
      <c r="C4562" t="s">
        <v>4770</v>
      </c>
    </row>
    <row r="4563" spans="1:3" x14ac:dyDescent="0.3">
      <c r="A4563" s="426">
        <v>44938</v>
      </c>
      <c r="B4563">
        <v>18205.13</v>
      </c>
      <c r="C4563" t="s">
        <v>4771</v>
      </c>
    </row>
    <row r="4564" spans="1:3" x14ac:dyDescent="0.3">
      <c r="A4564" s="426">
        <v>44939</v>
      </c>
      <c r="B4564">
        <v>18931.32</v>
      </c>
      <c r="C4564" t="s">
        <v>4772</v>
      </c>
    </row>
    <row r="4565" spans="1:3" x14ac:dyDescent="0.3">
      <c r="A4565" s="426">
        <v>44940</v>
      </c>
      <c r="B4565">
        <v>20879.5</v>
      </c>
      <c r="C4565" t="s">
        <v>4773</v>
      </c>
    </row>
    <row r="4566" spans="1:3" x14ac:dyDescent="0.3">
      <c r="A4566" s="426">
        <v>44941</v>
      </c>
      <c r="B4566">
        <v>20770.37</v>
      </c>
      <c r="C4566" t="s">
        <v>4774</v>
      </c>
    </row>
    <row r="4567" spans="1:3" x14ac:dyDescent="0.3">
      <c r="A4567" s="426">
        <v>44942</v>
      </c>
      <c r="B4567">
        <v>21094.07</v>
      </c>
      <c r="C4567" t="s">
        <v>4775</v>
      </c>
    </row>
    <row r="4568" spans="1:3" x14ac:dyDescent="0.3">
      <c r="A4568" s="426">
        <v>44943</v>
      </c>
      <c r="B4568">
        <v>21178.02</v>
      </c>
      <c r="C4568" t="s">
        <v>4776</v>
      </c>
    </row>
    <row r="4569" spans="1:3" x14ac:dyDescent="0.3">
      <c r="A4569" s="426">
        <v>44944</v>
      </c>
      <c r="B4569">
        <v>21231.57</v>
      </c>
      <c r="C4569" t="s">
        <v>4777</v>
      </c>
    </row>
    <row r="4570" spans="1:3" x14ac:dyDescent="0.3">
      <c r="A4570" s="426">
        <v>44945</v>
      </c>
      <c r="B4570">
        <v>20820.740000000002</v>
      </c>
      <c r="C4570" t="s">
        <v>4778</v>
      </c>
    </row>
    <row r="4571" spans="1:3" x14ac:dyDescent="0.3">
      <c r="A4571" s="426">
        <v>44946</v>
      </c>
      <c r="B4571">
        <v>21093.27</v>
      </c>
      <c r="C4571" t="s">
        <v>4779</v>
      </c>
    </row>
    <row r="4572" spans="1:3" x14ac:dyDescent="0.3">
      <c r="A4572" s="426">
        <v>44947</v>
      </c>
      <c r="B4572">
        <v>22897.34</v>
      </c>
      <c r="C4572" t="s">
        <v>4780</v>
      </c>
    </row>
    <row r="4573" spans="1:3" x14ac:dyDescent="0.3">
      <c r="A4573" s="426">
        <v>44948</v>
      </c>
      <c r="B4573">
        <v>22836.3</v>
      </c>
      <c r="C4573" t="s">
        <v>4781</v>
      </c>
    </row>
    <row r="4574" spans="1:3" x14ac:dyDescent="0.3">
      <c r="A4574" s="426">
        <v>44949</v>
      </c>
      <c r="B4574">
        <v>22840.58</v>
      </c>
      <c r="C4574" t="s">
        <v>4782</v>
      </c>
    </row>
    <row r="4575" spans="1:3" x14ac:dyDescent="0.3">
      <c r="A4575" s="426">
        <v>44950</v>
      </c>
      <c r="B4575">
        <v>22979.18</v>
      </c>
      <c r="C4575" t="s">
        <v>4783</v>
      </c>
    </row>
    <row r="4576" spans="1:3" x14ac:dyDescent="0.3">
      <c r="A4576" s="426">
        <v>44951</v>
      </c>
      <c r="B4576">
        <v>22656.55</v>
      </c>
      <c r="C4576" t="s">
        <v>4784</v>
      </c>
    </row>
    <row r="4577" spans="1:3" x14ac:dyDescent="0.3">
      <c r="A4577" s="426">
        <v>44952</v>
      </c>
      <c r="B4577">
        <v>23054.880000000001</v>
      </c>
      <c r="C4577" t="s">
        <v>4785</v>
      </c>
    </row>
    <row r="4578" spans="1:3" x14ac:dyDescent="0.3">
      <c r="A4578" s="426">
        <v>44953</v>
      </c>
      <c r="B4578">
        <v>22998.1</v>
      </c>
      <c r="C4578" t="s">
        <v>4786</v>
      </c>
    </row>
    <row r="4579" spans="1:3" x14ac:dyDescent="0.3">
      <c r="A4579" s="426">
        <v>44954</v>
      </c>
      <c r="B4579">
        <v>23016.17</v>
      </c>
      <c r="C4579" t="s">
        <v>4787</v>
      </c>
    </row>
    <row r="4580" spans="1:3" x14ac:dyDescent="0.3">
      <c r="A4580" s="426">
        <v>44955</v>
      </c>
      <c r="B4580">
        <v>23429.51</v>
      </c>
      <c r="C4580" t="s">
        <v>4788</v>
      </c>
    </row>
    <row r="4581" spans="1:3" x14ac:dyDescent="0.3">
      <c r="A4581" s="426">
        <v>44956</v>
      </c>
      <c r="B4581">
        <v>23202.43</v>
      </c>
      <c r="C4581" t="s">
        <v>4789</v>
      </c>
    </row>
    <row r="4582" spans="1:3" x14ac:dyDescent="0.3">
      <c r="A4582" s="426">
        <v>44957</v>
      </c>
      <c r="B4582">
        <v>22925.29</v>
      </c>
      <c r="C4582" t="s">
        <v>4790</v>
      </c>
    </row>
    <row r="4583" spans="1:3" x14ac:dyDescent="0.3">
      <c r="A4583" s="426">
        <v>44958</v>
      </c>
      <c r="B4583">
        <v>23099.200000000001</v>
      </c>
      <c r="C4583" t="s">
        <v>4791</v>
      </c>
    </row>
    <row r="4584" spans="1:3" x14ac:dyDescent="0.3">
      <c r="A4584" s="426">
        <v>44959</v>
      </c>
      <c r="B4584">
        <v>23825.68</v>
      </c>
      <c r="C4584" t="s">
        <v>4792</v>
      </c>
    </row>
    <row r="4585" spans="1:3" x14ac:dyDescent="0.3">
      <c r="A4585" s="426">
        <v>44960</v>
      </c>
      <c r="B4585">
        <v>23498.9</v>
      </c>
      <c r="C4585" t="s">
        <v>4793</v>
      </c>
    </row>
    <row r="4586" spans="1:3" x14ac:dyDescent="0.3">
      <c r="A4586" s="426">
        <v>44961</v>
      </c>
      <c r="B4586">
        <v>23409.24</v>
      </c>
      <c r="C4586" t="s">
        <v>4794</v>
      </c>
    </row>
    <row r="4587" spans="1:3" x14ac:dyDescent="0.3">
      <c r="A4587" s="426">
        <v>44962</v>
      </c>
      <c r="B4587">
        <v>23310.16</v>
      </c>
      <c r="C4587" t="s">
        <v>4795</v>
      </c>
    </row>
    <row r="4588" spans="1:3" x14ac:dyDescent="0.3">
      <c r="A4588" s="426">
        <v>44963</v>
      </c>
      <c r="B4588">
        <v>22892.74</v>
      </c>
      <c r="C4588" t="s">
        <v>4796</v>
      </c>
    </row>
    <row r="4589" spans="1:3" x14ac:dyDescent="0.3">
      <c r="A4589" s="426">
        <v>44964</v>
      </c>
      <c r="B4589">
        <v>22968.86</v>
      </c>
      <c r="C4589" t="s">
        <v>4797</v>
      </c>
    </row>
    <row r="4590" spans="1:3" x14ac:dyDescent="0.3">
      <c r="A4590" s="426">
        <v>44965</v>
      </c>
      <c r="B4590">
        <v>23172.48</v>
      </c>
      <c r="C4590" t="s">
        <v>4798</v>
      </c>
    </row>
    <row r="4591" spans="1:3" x14ac:dyDescent="0.3">
      <c r="A4591" s="426">
        <v>44966</v>
      </c>
      <c r="B4591">
        <v>22664.07</v>
      </c>
      <c r="C4591" t="s">
        <v>4799</v>
      </c>
    </row>
    <row r="4592" spans="1:3" x14ac:dyDescent="0.3">
      <c r="A4592" s="426">
        <v>44967</v>
      </c>
      <c r="B4592">
        <v>21822.48</v>
      </c>
      <c r="C4592" t="s">
        <v>4800</v>
      </c>
    </row>
    <row r="4593" spans="1:3" x14ac:dyDescent="0.3">
      <c r="A4593" s="426">
        <v>44968</v>
      </c>
      <c r="B4593">
        <v>21705.99</v>
      </c>
      <c r="C4593" t="s">
        <v>4801</v>
      </c>
    </row>
    <row r="4594" spans="1:3" x14ac:dyDescent="0.3">
      <c r="A4594" s="426">
        <v>44969</v>
      </c>
      <c r="B4594">
        <v>21835.63</v>
      </c>
      <c r="C4594" t="s">
        <v>4802</v>
      </c>
    </row>
    <row r="4595" spans="1:3" x14ac:dyDescent="0.3">
      <c r="A4595" s="426">
        <v>44970</v>
      </c>
      <c r="B4595">
        <v>21674.05</v>
      </c>
      <c r="C4595" t="s">
        <v>4803</v>
      </c>
    </row>
    <row r="4596" spans="1:3" x14ac:dyDescent="0.3">
      <c r="A4596" s="426">
        <v>44971</v>
      </c>
      <c r="B4596">
        <v>21832.91</v>
      </c>
      <c r="C4596" t="s">
        <v>4804</v>
      </c>
    </row>
    <row r="4597" spans="1:3" x14ac:dyDescent="0.3">
      <c r="A4597" s="426">
        <v>44972</v>
      </c>
      <c r="B4597">
        <v>22682.83</v>
      </c>
      <c r="C4597" t="s">
        <v>4805</v>
      </c>
    </row>
    <row r="4598" spans="1:3" x14ac:dyDescent="0.3">
      <c r="A4598" s="426">
        <v>44973</v>
      </c>
      <c r="B4598">
        <v>24627.360000000001</v>
      </c>
      <c r="C4598" t="s">
        <v>4806</v>
      </c>
    </row>
    <row r="4599" spans="1:3" x14ac:dyDescent="0.3">
      <c r="A4599" s="426">
        <v>44974</v>
      </c>
      <c r="B4599">
        <v>23820.28</v>
      </c>
      <c r="C4599" t="s">
        <v>4807</v>
      </c>
    </row>
    <row r="4600" spans="1:3" x14ac:dyDescent="0.3">
      <c r="A4600" s="426">
        <v>44975</v>
      </c>
      <c r="B4600">
        <v>24621.360000000001</v>
      </c>
      <c r="C4600" t="s">
        <v>4808</v>
      </c>
    </row>
    <row r="4601" spans="1:3" x14ac:dyDescent="0.3">
      <c r="A4601" s="426">
        <v>44976</v>
      </c>
      <c r="B4601">
        <v>24675.7</v>
      </c>
      <c r="C4601" t="s">
        <v>4809</v>
      </c>
    </row>
    <row r="4602" spans="1:3" x14ac:dyDescent="0.3">
      <c r="A4602" s="426">
        <v>44977</v>
      </c>
      <c r="B4602">
        <v>24790.77</v>
      </c>
      <c r="C4602" t="s">
        <v>4810</v>
      </c>
    </row>
    <row r="4603" spans="1:3" x14ac:dyDescent="0.3">
      <c r="A4603" s="426">
        <v>44978</v>
      </c>
      <c r="B4603">
        <v>24698.95</v>
      </c>
      <c r="C4603" t="s">
        <v>4811</v>
      </c>
    </row>
    <row r="4604" spans="1:3" x14ac:dyDescent="0.3">
      <c r="A4604" s="426">
        <v>44979</v>
      </c>
      <c r="B4604">
        <v>24069.39</v>
      </c>
      <c r="C4604" t="s">
        <v>4812</v>
      </c>
    </row>
    <row r="4605" spans="1:3" x14ac:dyDescent="0.3">
      <c r="A4605" s="426">
        <v>44980</v>
      </c>
      <c r="B4605">
        <v>24078.240000000002</v>
      </c>
      <c r="C4605" t="s">
        <v>4813</v>
      </c>
    </row>
    <row r="4606" spans="1:3" x14ac:dyDescent="0.3">
      <c r="A4606" s="426">
        <v>44981</v>
      </c>
      <c r="B4606">
        <v>23862.27</v>
      </c>
      <c r="C4606" t="s">
        <v>4814</v>
      </c>
    </row>
    <row r="4607" spans="1:3" x14ac:dyDescent="0.3">
      <c r="A4607" s="426">
        <v>44982</v>
      </c>
      <c r="B4607">
        <v>23049.47</v>
      </c>
      <c r="C4607" t="s">
        <v>4815</v>
      </c>
    </row>
    <row r="4608" spans="1:3" x14ac:dyDescent="0.3">
      <c r="A4608" s="426">
        <v>44983</v>
      </c>
      <c r="B4608">
        <v>23225.18</v>
      </c>
      <c r="C4608" t="s">
        <v>4816</v>
      </c>
    </row>
    <row r="4609" spans="1:3" x14ac:dyDescent="0.3">
      <c r="A4609" s="426">
        <v>44984</v>
      </c>
      <c r="B4609">
        <v>23425.77</v>
      </c>
      <c r="C4609" t="s">
        <v>4817</v>
      </c>
    </row>
    <row r="4610" spans="1:3" x14ac:dyDescent="0.3">
      <c r="A4610" s="426">
        <v>44985</v>
      </c>
      <c r="B4610">
        <v>23423.24</v>
      </c>
      <c r="C4610" t="s">
        <v>4818</v>
      </c>
    </row>
    <row r="4611" spans="1:3" x14ac:dyDescent="0.3">
      <c r="A4611" s="426">
        <v>44986</v>
      </c>
      <c r="B4611">
        <v>23700.66</v>
      </c>
      <c r="C4611" t="s">
        <v>4819</v>
      </c>
    </row>
    <row r="4612" spans="1:3" x14ac:dyDescent="0.3">
      <c r="A4612" s="426">
        <v>44987</v>
      </c>
      <c r="B4612">
        <v>23449.759999999998</v>
      </c>
      <c r="C4612" t="s">
        <v>4820</v>
      </c>
    </row>
    <row r="4613" spans="1:3" x14ac:dyDescent="0.3">
      <c r="A4613" s="426">
        <v>44988</v>
      </c>
      <c r="B4613">
        <v>22371.56</v>
      </c>
      <c r="C4613" t="s">
        <v>4821</v>
      </c>
    </row>
    <row r="4614" spans="1:3" x14ac:dyDescent="0.3">
      <c r="A4614" s="426">
        <v>44989</v>
      </c>
      <c r="B4614">
        <v>22356.28</v>
      </c>
      <c r="C4614" t="s">
        <v>4822</v>
      </c>
    </row>
    <row r="4615" spans="1:3" x14ac:dyDescent="0.3">
      <c r="A4615" s="426">
        <v>44990</v>
      </c>
      <c r="B4615">
        <v>22432.42</v>
      </c>
      <c r="C4615" t="s">
        <v>4823</v>
      </c>
    </row>
    <row r="4616" spans="1:3" x14ac:dyDescent="0.3">
      <c r="A4616" s="426">
        <v>44991</v>
      </c>
      <c r="B4616">
        <v>22412.080000000002</v>
      </c>
      <c r="C4616" t="s">
        <v>4824</v>
      </c>
    </row>
    <row r="4617" spans="1:3" x14ac:dyDescent="0.3">
      <c r="A4617" s="426">
        <v>44992</v>
      </c>
      <c r="B4617">
        <v>22390.67</v>
      </c>
      <c r="C4617" t="s">
        <v>4825</v>
      </c>
    </row>
    <row r="4618" spans="1:3" x14ac:dyDescent="0.3">
      <c r="A4618" s="426">
        <v>44993</v>
      </c>
      <c r="B4618">
        <v>22053.599999999999</v>
      </c>
      <c r="C4618" t="s">
        <v>4826</v>
      </c>
    </row>
    <row r="4619" spans="1:3" x14ac:dyDescent="0.3">
      <c r="A4619" s="426">
        <v>44994</v>
      </c>
      <c r="B4619">
        <v>21671.07</v>
      </c>
      <c r="C4619" t="s">
        <v>4827</v>
      </c>
    </row>
    <row r="4620" spans="1:3" x14ac:dyDescent="0.3">
      <c r="A4620" s="426">
        <v>44995</v>
      </c>
      <c r="B4620">
        <v>19971.87</v>
      </c>
      <c r="C4620" t="s">
        <v>4828</v>
      </c>
    </row>
    <row r="4621" spans="1:3" x14ac:dyDescent="0.3">
      <c r="A4621" s="426">
        <v>44996</v>
      </c>
      <c r="B4621">
        <v>20435.580000000002</v>
      </c>
      <c r="C4621" t="s">
        <v>4829</v>
      </c>
    </row>
    <row r="4622" spans="1:3" x14ac:dyDescent="0.3">
      <c r="A4622" s="426">
        <v>44997</v>
      </c>
      <c r="B4622">
        <v>20615.39</v>
      </c>
      <c r="C4622" t="s">
        <v>4830</v>
      </c>
    </row>
    <row r="4623" spans="1:3" x14ac:dyDescent="0.3">
      <c r="A4623" s="426">
        <v>44998</v>
      </c>
      <c r="B4623">
        <v>22516.14</v>
      </c>
      <c r="C4623" t="s">
        <v>4831</v>
      </c>
    </row>
    <row r="4624" spans="1:3" x14ac:dyDescent="0.3">
      <c r="A4624" s="426">
        <v>44999</v>
      </c>
      <c r="B4624">
        <v>24664.25</v>
      </c>
      <c r="C4624" t="s">
        <v>4832</v>
      </c>
    </row>
    <row r="4625" spans="1:3" x14ac:dyDescent="0.3">
      <c r="A4625" s="426">
        <v>45000</v>
      </c>
      <c r="B4625">
        <v>24727</v>
      </c>
      <c r="C4625" t="s">
        <v>4833</v>
      </c>
    </row>
    <row r="4626" spans="1:3" x14ac:dyDescent="0.3">
      <c r="A4626" s="426">
        <v>45001</v>
      </c>
      <c r="B4626">
        <v>24764.78</v>
      </c>
      <c r="C4626" t="s">
        <v>4834</v>
      </c>
    </row>
    <row r="4627" spans="1:3" x14ac:dyDescent="0.3">
      <c r="A4627" s="426">
        <v>45002</v>
      </c>
      <c r="B4627">
        <v>26460.74</v>
      </c>
      <c r="C4627" t="s">
        <v>4835</v>
      </c>
    </row>
    <row r="4628" spans="1:3" x14ac:dyDescent="0.3">
      <c r="A4628" s="426">
        <v>45003</v>
      </c>
      <c r="B4628">
        <v>27416.959999999999</v>
      </c>
      <c r="C4628" t="s">
        <v>4836</v>
      </c>
    </row>
    <row r="4629" spans="1:3" x14ac:dyDescent="0.3">
      <c r="A4629" s="426">
        <v>45004</v>
      </c>
      <c r="B4629">
        <v>27252.37</v>
      </c>
      <c r="C4629" t="s">
        <v>4837</v>
      </c>
    </row>
    <row r="4630" spans="1:3" x14ac:dyDescent="0.3">
      <c r="A4630" s="426">
        <v>45005</v>
      </c>
      <c r="B4630">
        <v>27929.46</v>
      </c>
      <c r="C4630" t="s">
        <v>4838</v>
      </c>
    </row>
    <row r="4631" spans="1:3" x14ac:dyDescent="0.3">
      <c r="A4631" s="426">
        <v>45006</v>
      </c>
      <c r="B4631">
        <v>27990.52</v>
      </c>
      <c r="C4631" t="s">
        <v>4839</v>
      </c>
    </row>
    <row r="4632" spans="1:3" x14ac:dyDescent="0.3">
      <c r="A4632" s="426">
        <v>45007</v>
      </c>
      <c r="B4632">
        <v>28210.81</v>
      </c>
      <c r="C4632" t="s">
        <v>4840</v>
      </c>
    </row>
    <row r="4633" spans="1:3" x14ac:dyDescent="0.3">
      <c r="A4633" s="426">
        <v>45008</v>
      </c>
      <c r="B4633">
        <v>27692.97</v>
      </c>
      <c r="C4633" t="s">
        <v>4841</v>
      </c>
    </row>
    <row r="4634" spans="1:3" x14ac:dyDescent="0.3">
      <c r="A4634" s="426">
        <v>45009</v>
      </c>
      <c r="B4634">
        <v>28064.560000000001</v>
      </c>
      <c r="C4634" t="s">
        <v>4842</v>
      </c>
    </row>
    <row r="4635" spans="1:3" x14ac:dyDescent="0.3">
      <c r="A4635" s="426">
        <v>45010</v>
      </c>
      <c r="B4635">
        <v>27512.02</v>
      </c>
      <c r="C4635" t="s">
        <v>4843</v>
      </c>
    </row>
    <row r="4636" spans="1:3" x14ac:dyDescent="0.3">
      <c r="A4636" s="426">
        <v>45011</v>
      </c>
      <c r="B4636">
        <v>27774.91</v>
      </c>
      <c r="C4636" t="s">
        <v>4844</v>
      </c>
    </row>
    <row r="4637" spans="1:3" x14ac:dyDescent="0.3">
      <c r="A4637" s="426">
        <v>45012</v>
      </c>
      <c r="B4637">
        <v>27794.76</v>
      </c>
      <c r="C4637" t="s">
        <v>4845</v>
      </c>
    </row>
    <row r="4638" spans="1:3" x14ac:dyDescent="0.3">
      <c r="A4638" s="426">
        <v>45013</v>
      </c>
      <c r="B4638">
        <v>26979.89</v>
      </c>
      <c r="C4638" t="s">
        <v>4846</v>
      </c>
    </row>
    <row r="4639" spans="1:3" x14ac:dyDescent="0.3">
      <c r="A4639" s="426">
        <v>45014</v>
      </c>
      <c r="B4639">
        <v>28352.01</v>
      </c>
      <c r="C4639" t="s">
        <v>4847</v>
      </c>
    </row>
    <row r="4640" spans="1:3" x14ac:dyDescent="0.3">
      <c r="A4640" s="426">
        <v>45015</v>
      </c>
      <c r="B4640">
        <v>28449.64</v>
      </c>
      <c r="C4640" t="s">
        <v>4848</v>
      </c>
    </row>
    <row r="4641" spans="1:3" x14ac:dyDescent="0.3">
      <c r="A4641" s="426">
        <v>45016</v>
      </c>
      <c r="B4641">
        <v>28249.02</v>
      </c>
      <c r="C4641" t="s">
        <v>4849</v>
      </c>
    </row>
    <row r="4642" spans="1:3" x14ac:dyDescent="0.3">
      <c r="A4642" s="426">
        <v>45017</v>
      </c>
      <c r="B4642">
        <v>28440.89</v>
      </c>
      <c r="C4642" t="s">
        <v>4850</v>
      </c>
    </row>
    <row r="4643" spans="1:3" x14ac:dyDescent="0.3">
      <c r="A4643" s="426">
        <v>45018</v>
      </c>
      <c r="B4643">
        <v>28357.19</v>
      </c>
      <c r="C4643" t="s">
        <v>4851</v>
      </c>
    </row>
    <row r="4644" spans="1:3" x14ac:dyDescent="0.3">
      <c r="A4644" s="426">
        <v>45019</v>
      </c>
      <c r="B4644">
        <v>28025.26</v>
      </c>
      <c r="C4644" t="s">
        <v>4852</v>
      </c>
    </row>
    <row r="4645" spans="1:3" x14ac:dyDescent="0.3">
      <c r="A4645" s="426">
        <v>45020</v>
      </c>
      <c r="B4645">
        <v>28103.64</v>
      </c>
      <c r="C4645" t="s">
        <v>4853</v>
      </c>
    </row>
    <row r="4646" spans="1:3" x14ac:dyDescent="0.3">
      <c r="A4646" s="426">
        <v>45021</v>
      </c>
      <c r="B4646">
        <v>28493.96</v>
      </c>
      <c r="C4646" t="s">
        <v>4854</v>
      </c>
    </row>
    <row r="4647" spans="1:3" x14ac:dyDescent="0.3">
      <c r="A4647" s="426">
        <v>45022</v>
      </c>
      <c r="B4647">
        <v>28030.73</v>
      </c>
      <c r="C4647" t="s">
        <v>4855</v>
      </c>
    </row>
    <row r="4648" spans="1:3" x14ac:dyDescent="0.3">
      <c r="A4648" s="426">
        <v>45023</v>
      </c>
      <c r="B4648">
        <v>27933.37</v>
      </c>
      <c r="C4648" t="s">
        <v>4856</v>
      </c>
    </row>
    <row r="4649" spans="1:3" x14ac:dyDescent="0.3">
      <c r="A4649" s="426">
        <v>45024</v>
      </c>
      <c r="B4649">
        <v>28014.82</v>
      </c>
      <c r="C4649" t="s">
        <v>4857</v>
      </c>
    </row>
    <row r="4650" spans="1:3" x14ac:dyDescent="0.3">
      <c r="A4650" s="426">
        <v>45025</v>
      </c>
      <c r="B4650">
        <v>27976.7</v>
      </c>
      <c r="C4650" t="s">
        <v>4858</v>
      </c>
    </row>
    <row r="4651" spans="1:3" x14ac:dyDescent="0.3">
      <c r="A4651" s="426">
        <v>45026</v>
      </c>
      <c r="B4651">
        <v>28334.63</v>
      </c>
      <c r="C4651" t="s">
        <v>4859</v>
      </c>
    </row>
    <row r="4652" spans="1:3" x14ac:dyDescent="0.3">
      <c r="A4652" s="426">
        <v>45027</v>
      </c>
      <c r="B4652">
        <v>30140.82</v>
      </c>
      <c r="C4652" t="s">
        <v>4860</v>
      </c>
    </row>
    <row r="4653" spans="1:3" x14ac:dyDescent="0.3">
      <c r="A4653" s="426">
        <v>45028</v>
      </c>
      <c r="B4653">
        <v>29994.77</v>
      </c>
      <c r="C4653" t="s">
        <v>4861</v>
      </c>
    </row>
    <row r="4654" spans="1:3" x14ac:dyDescent="0.3">
      <c r="A4654" s="426">
        <v>45029</v>
      </c>
      <c r="B4654">
        <v>30248.080000000002</v>
      </c>
      <c r="C4654" t="s">
        <v>4862</v>
      </c>
    </row>
    <row r="4655" spans="1:3" x14ac:dyDescent="0.3">
      <c r="A4655" s="426">
        <v>45030</v>
      </c>
      <c r="B4655">
        <v>30710.61</v>
      </c>
      <c r="C4655" t="s">
        <v>4863</v>
      </c>
    </row>
    <row r="4656" spans="1:3" x14ac:dyDescent="0.3">
      <c r="A4656" s="426">
        <v>45031</v>
      </c>
      <c r="B4656">
        <v>30401.84</v>
      </c>
      <c r="C4656" t="s">
        <v>4864</v>
      </c>
    </row>
    <row r="4657" spans="1:3" x14ac:dyDescent="0.3">
      <c r="A4657" s="426">
        <v>45032</v>
      </c>
      <c r="B4657">
        <v>30312.05</v>
      </c>
      <c r="C4657" t="s">
        <v>4865</v>
      </c>
    </row>
    <row r="4658" spans="1:3" x14ac:dyDescent="0.3">
      <c r="A4658" s="426">
        <v>45033</v>
      </c>
      <c r="B4658">
        <v>29594.49</v>
      </c>
      <c r="C4658" t="s">
        <v>4866</v>
      </c>
    </row>
    <row r="4659" spans="1:3" x14ac:dyDescent="0.3">
      <c r="A4659" s="426">
        <v>45034</v>
      </c>
      <c r="B4659">
        <v>30150.33</v>
      </c>
      <c r="C4659" t="s">
        <v>4867</v>
      </c>
    </row>
    <row r="4660" spans="1:3" x14ac:dyDescent="0.3">
      <c r="A4660" s="426">
        <v>45035</v>
      </c>
      <c r="B4660">
        <v>29312.560000000001</v>
      </c>
      <c r="C4660" t="s">
        <v>4868</v>
      </c>
    </row>
    <row r="4661" spans="1:3" x14ac:dyDescent="0.3">
      <c r="A4661" s="426">
        <v>45036</v>
      </c>
      <c r="B4661">
        <v>28798.11</v>
      </c>
      <c r="C4661" t="s">
        <v>4869</v>
      </c>
    </row>
    <row r="4662" spans="1:3" x14ac:dyDescent="0.3">
      <c r="A4662" s="426">
        <v>45037</v>
      </c>
      <c r="B4662">
        <v>28055.9</v>
      </c>
      <c r="C4662" t="s">
        <v>4870</v>
      </c>
    </row>
    <row r="4663" spans="1:3" x14ac:dyDescent="0.3">
      <c r="A4663" s="426">
        <v>45038</v>
      </c>
      <c r="B4663">
        <v>27341.27</v>
      </c>
      <c r="C4663" t="s">
        <v>4871</v>
      </c>
    </row>
    <row r="4664" spans="1:3" x14ac:dyDescent="0.3">
      <c r="A4664" s="426">
        <v>45039</v>
      </c>
      <c r="B4664">
        <v>27585.57</v>
      </c>
      <c r="C4664" t="s">
        <v>4872</v>
      </c>
    </row>
    <row r="4665" spans="1:3" x14ac:dyDescent="0.3">
      <c r="A4665" s="426">
        <v>45040</v>
      </c>
      <c r="B4665">
        <v>27457.95</v>
      </c>
      <c r="C4665" t="s">
        <v>4873</v>
      </c>
    </row>
    <row r="4666" spans="1:3" x14ac:dyDescent="0.3">
      <c r="A4666" s="426">
        <v>45041</v>
      </c>
      <c r="B4666">
        <v>27399.22</v>
      </c>
      <c r="C4666" t="s">
        <v>4874</v>
      </c>
    </row>
    <row r="4667" spans="1:3" x14ac:dyDescent="0.3">
      <c r="A4667" s="426">
        <v>45042</v>
      </c>
      <c r="B4667">
        <v>28490.82</v>
      </c>
      <c r="C4667" t="s">
        <v>4875</v>
      </c>
    </row>
    <row r="4668" spans="1:3" x14ac:dyDescent="0.3">
      <c r="A4668" s="426">
        <v>45043</v>
      </c>
      <c r="B4668">
        <v>29083.19</v>
      </c>
      <c r="C4668" t="s">
        <v>4876</v>
      </c>
    </row>
    <row r="4669" spans="1:3" x14ac:dyDescent="0.3">
      <c r="A4669" s="426">
        <v>45044</v>
      </c>
      <c r="B4669">
        <v>29343.01</v>
      </c>
      <c r="C4669" t="s">
        <v>4877</v>
      </c>
    </row>
    <row r="4670" spans="1:3" x14ac:dyDescent="0.3">
      <c r="A4670" s="426">
        <v>45045</v>
      </c>
      <c r="B4670">
        <v>29315.97</v>
      </c>
      <c r="C4670" t="s">
        <v>4878</v>
      </c>
    </row>
    <row r="4671" spans="1:3" x14ac:dyDescent="0.3">
      <c r="A4671" s="426">
        <v>45046</v>
      </c>
      <c r="B4671">
        <v>29290.11</v>
      </c>
      <c r="C4671" t="s">
        <v>4879</v>
      </c>
    </row>
    <row r="4672" spans="1:3" x14ac:dyDescent="0.3">
      <c r="A4672" s="426">
        <v>45047</v>
      </c>
      <c r="B4672">
        <v>28532.66</v>
      </c>
      <c r="C4672" t="s">
        <v>4880</v>
      </c>
    </row>
    <row r="4673" spans="1:3" x14ac:dyDescent="0.3">
      <c r="A4673" s="426">
        <v>45048</v>
      </c>
      <c r="B4673">
        <v>28085.5</v>
      </c>
      <c r="C4673" t="s">
        <v>4881</v>
      </c>
    </row>
    <row r="4674" spans="1:3" x14ac:dyDescent="0.3">
      <c r="A4674" s="426">
        <v>45049</v>
      </c>
      <c r="B4674">
        <v>28529.72</v>
      </c>
      <c r="C4674" t="s">
        <v>4882</v>
      </c>
    </row>
    <row r="4675" spans="1:3" x14ac:dyDescent="0.3">
      <c r="A4675" s="426">
        <v>45050</v>
      </c>
      <c r="B4675">
        <v>29060.240000000002</v>
      </c>
      <c r="C4675" t="s">
        <v>4883</v>
      </c>
    </row>
    <row r="4676" spans="1:3" x14ac:dyDescent="0.3">
      <c r="A4676" s="426">
        <v>45051</v>
      </c>
      <c r="B4676">
        <v>29251.94</v>
      </c>
      <c r="C4676" t="s">
        <v>4884</v>
      </c>
    </row>
    <row r="4677" spans="1:3" x14ac:dyDescent="0.3">
      <c r="A4677" s="426">
        <v>45052</v>
      </c>
      <c r="B4677">
        <v>29268.18</v>
      </c>
      <c r="C4677" t="s">
        <v>4885</v>
      </c>
    </row>
    <row r="4678" spans="1:3" x14ac:dyDescent="0.3">
      <c r="A4678" s="426">
        <v>45053</v>
      </c>
      <c r="B4678">
        <v>28926.92</v>
      </c>
      <c r="C4678" t="s">
        <v>4886</v>
      </c>
    </row>
    <row r="4679" spans="1:3" x14ac:dyDescent="0.3">
      <c r="A4679" s="426">
        <v>45054</v>
      </c>
      <c r="B4679">
        <v>27936.02</v>
      </c>
      <c r="C4679" t="s">
        <v>4887</v>
      </c>
    </row>
    <row r="4680" spans="1:3" x14ac:dyDescent="0.3">
      <c r="A4680" s="426">
        <v>45055</v>
      </c>
      <c r="B4680">
        <v>27619.73</v>
      </c>
      <c r="C4680" t="s">
        <v>4888</v>
      </c>
    </row>
    <row r="4681" spans="1:3" x14ac:dyDescent="0.3">
      <c r="A4681" s="426">
        <v>45056</v>
      </c>
      <c r="B4681">
        <v>27683.48</v>
      </c>
      <c r="C4681" t="s">
        <v>4889</v>
      </c>
    </row>
    <row r="4682" spans="1:3" x14ac:dyDescent="0.3">
      <c r="A4682" s="426">
        <v>45057</v>
      </c>
      <c r="B4682">
        <v>27420.57</v>
      </c>
      <c r="C4682" t="s">
        <v>4890</v>
      </c>
    </row>
    <row r="4683" spans="1:3" x14ac:dyDescent="0.3">
      <c r="A4683" s="426">
        <v>45058</v>
      </c>
      <c r="B4683">
        <v>26395.89</v>
      </c>
      <c r="C4683" t="s">
        <v>4891</v>
      </c>
    </row>
    <row r="4684" spans="1:3" x14ac:dyDescent="0.3">
      <c r="A4684" s="426">
        <v>45059</v>
      </c>
      <c r="B4684">
        <v>26831.89</v>
      </c>
      <c r="C4684" t="s">
        <v>4892</v>
      </c>
    </row>
    <row r="4685" spans="1:3" x14ac:dyDescent="0.3">
      <c r="A4685" s="426">
        <v>45060</v>
      </c>
      <c r="B4685">
        <v>26865.27</v>
      </c>
      <c r="C4685" t="s">
        <v>4893</v>
      </c>
    </row>
    <row r="4686" spans="1:3" x14ac:dyDescent="0.3">
      <c r="A4686" s="426">
        <v>45061</v>
      </c>
      <c r="B4686">
        <v>27376.560000000001</v>
      </c>
      <c r="C4686" t="s">
        <v>4894</v>
      </c>
    </row>
    <row r="4687" spans="1:3" x14ac:dyDescent="0.3">
      <c r="A4687" s="426">
        <v>45062</v>
      </c>
      <c r="B4687">
        <v>27059.73</v>
      </c>
      <c r="C4687" t="s">
        <v>4895</v>
      </c>
    </row>
    <row r="4688" spans="1:3" x14ac:dyDescent="0.3">
      <c r="A4688" s="426">
        <v>45063</v>
      </c>
      <c r="B4688">
        <v>27004.07</v>
      </c>
      <c r="C4688" t="s">
        <v>4896</v>
      </c>
    </row>
    <row r="4689" spans="1:3" x14ac:dyDescent="0.3">
      <c r="A4689" s="426">
        <v>45064</v>
      </c>
      <c r="B4689">
        <v>27257.7</v>
      </c>
      <c r="C4689" t="s">
        <v>4897</v>
      </c>
    </row>
    <row r="4690" spans="1:3" x14ac:dyDescent="0.3">
      <c r="A4690" s="426">
        <v>45065</v>
      </c>
      <c r="B4690">
        <v>26878.79</v>
      </c>
      <c r="C4690" t="s">
        <v>4898</v>
      </c>
    </row>
    <row r="4691" spans="1:3" x14ac:dyDescent="0.3">
      <c r="A4691" s="426">
        <v>45066</v>
      </c>
      <c r="B4691">
        <v>26907.15</v>
      </c>
      <c r="C4691" t="s">
        <v>4899</v>
      </c>
    </row>
    <row r="4692" spans="1:3" x14ac:dyDescent="0.3">
      <c r="A4692" s="426">
        <v>45067</v>
      </c>
      <c r="B4692">
        <v>26951.72</v>
      </c>
      <c r="C4692" t="s">
        <v>4900</v>
      </c>
    </row>
    <row r="4693" spans="1:3" x14ac:dyDescent="0.3">
      <c r="A4693" s="426">
        <v>45068</v>
      </c>
      <c r="B4693">
        <v>26849.48</v>
      </c>
      <c r="C4693" t="s">
        <v>4901</v>
      </c>
    </row>
    <row r="4694" spans="1:3" x14ac:dyDescent="0.3">
      <c r="A4694" s="426">
        <v>45069</v>
      </c>
      <c r="B4694">
        <v>27286.97</v>
      </c>
      <c r="C4694" t="s">
        <v>4902</v>
      </c>
    </row>
    <row r="4695" spans="1:3" x14ac:dyDescent="0.3">
      <c r="A4695" s="426">
        <v>45070</v>
      </c>
      <c r="B4695">
        <v>26696.959999999999</v>
      </c>
      <c r="C4695" t="s">
        <v>4903</v>
      </c>
    </row>
    <row r="4696" spans="1:3" x14ac:dyDescent="0.3">
      <c r="A4696" s="426">
        <v>45071</v>
      </c>
      <c r="B4696">
        <v>26276.26</v>
      </c>
      <c r="C4696" t="s">
        <v>4904</v>
      </c>
    </row>
    <row r="4697" spans="1:3" x14ac:dyDescent="0.3">
      <c r="A4697" s="426">
        <v>45072</v>
      </c>
      <c r="B4697">
        <v>26490.400000000001</v>
      </c>
      <c r="C4697" t="s">
        <v>4905</v>
      </c>
    </row>
    <row r="4698" spans="1:3" x14ac:dyDescent="0.3">
      <c r="A4698" s="426">
        <v>45073</v>
      </c>
      <c r="B4698">
        <v>26727.53</v>
      </c>
      <c r="C4698" t="s">
        <v>4906</v>
      </c>
    </row>
    <row r="4699" spans="1:3" x14ac:dyDescent="0.3">
      <c r="A4699" s="426">
        <v>45074</v>
      </c>
      <c r="B4699">
        <v>27207.5</v>
      </c>
      <c r="C4699" t="s">
        <v>4907</v>
      </c>
    </row>
    <row r="4700" spans="1:3" x14ac:dyDescent="0.3">
      <c r="A4700" s="426">
        <v>45075</v>
      </c>
      <c r="B4700">
        <v>27895.89</v>
      </c>
      <c r="C4700" t="s">
        <v>4908</v>
      </c>
    </row>
    <row r="4701" spans="1:3" x14ac:dyDescent="0.3">
      <c r="A4701" s="426">
        <v>45076</v>
      </c>
      <c r="B4701">
        <v>27786.09</v>
      </c>
      <c r="C4701" t="s">
        <v>4909</v>
      </c>
    </row>
    <row r="4702" spans="1:3" x14ac:dyDescent="0.3">
      <c r="A4702" s="426">
        <v>45077</v>
      </c>
      <c r="B4702">
        <v>27135.37</v>
      </c>
      <c r="C4702" t="s">
        <v>4910</v>
      </c>
    </row>
    <row r="4703" spans="1:3" x14ac:dyDescent="0.3">
      <c r="A4703" s="426">
        <v>45078</v>
      </c>
      <c r="B4703">
        <v>26896.03</v>
      </c>
      <c r="C4703" t="s">
        <v>4911</v>
      </c>
    </row>
    <row r="4704" spans="1:3" x14ac:dyDescent="0.3">
      <c r="A4704" s="426">
        <v>45079</v>
      </c>
      <c r="B4704">
        <v>27096.77</v>
      </c>
      <c r="C4704" t="s">
        <v>4912</v>
      </c>
    </row>
    <row r="4705" spans="1:3" x14ac:dyDescent="0.3">
      <c r="A4705" s="426">
        <v>45080</v>
      </c>
      <c r="B4705">
        <v>27162.87</v>
      </c>
      <c r="C4705" t="s">
        <v>4913</v>
      </c>
    </row>
    <row r="4706" spans="1:3" x14ac:dyDescent="0.3">
      <c r="A4706" s="426">
        <v>45081</v>
      </c>
      <c r="B4706">
        <v>27200.25</v>
      </c>
      <c r="C4706" t="s">
        <v>4914</v>
      </c>
    </row>
    <row r="4707" spans="1:3" x14ac:dyDescent="0.3">
      <c r="A4707" s="426">
        <v>45082</v>
      </c>
      <c r="B4707">
        <v>26762.74</v>
      </c>
      <c r="C4707" t="s">
        <v>4915</v>
      </c>
    </row>
    <row r="4708" spans="1:3" x14ac:dyDescent="0.3">
      <c r="A4708" s="426">
        <v>45083</v>
      </c>
      <c r="B4708">
        <v>25782.99</v>
      </c>
      <c r="C4708" t="s">
        <v>4916</v>
      </c>
    </row>
    <row r="4709" spans="1:3" x14ac:dyDescent="0.3">
      <c r="A4709" s="426">
        <v>45084</v>
      </c>
      <c r="B4709">
        <v>26752.94</v>
      </c>
      <c r="C4709" t="s">
        <v>4917</v>
      </c>
    </row>
    <row r="4710" spans="1:3" x14ac:dyDescent="0.3">
      <c r="A4710" s="426">
        <v>45085</v>
      </c>
      <c r="B4710">
        <v>26459.34</v>
      </c>
      <c r="C4710" t="s">
        <v>4918</v>
      </c>
    </row>
    <row r="4711" spans="1:3" x14ac:dyDescent="0.3">
      <c r="A4711" s="426">
        <v>45086</v>
      </c>
      <c r="B4711">
        <v>26491.42</v>
      </c>
      <c r="C4711" t="s">
        <v>4919</v>
      </c>
    </row>
    <row r="4712" spans="1:3" x14ac:dyDescent="0.3">
      <c r="A4712" s="426">
        <v>45087</v>
      </c>
      <c r="B4712">
        <v>25711.21</v>
      </c>
      <c r="C4712" t="s">
        <v>4920</v>
      </c>
    </row>
    <row r="4713" spans="1:3" x14ac:dyDescent="0.3">
      <c r="A4713" s="426">
        <v>45088</v>
      </c>
      <c r="B4713">
        <v>25794.3</v>
      </c>
      <c r="C4713" t="s">
        <v>4921</v>
      </c>
    </row>
    <row r="4714" spans="1:3" x14ac:dyDescent="0.3">
      <c r="A4714" s="426">
        <v>45089</v>
      </c>
      <c r="B4714">
        <v>25861.82</v>
      </c>
      <c r="C4714" t="s">
        <v>4922</v>
      </c>
    </row>
    <row r="4715" spans="1:3" x14ac:dyDescent="0.3">
      <c r="A4715" s="426">
        <v>45090</v>
      </c>
      <c r="B4715">
        <v>25993.56</v>
      </c>
      <c r="C4715" t="s">
        <v>4923</v>
      </c>
    </row>
    <row r="4716" spans="1:3" x14ac:dyDescent="0.3">
      <c r="A4716" s="426">
        <v>45091</v>
      </c>
      <c r="B4716">
        <v>25968.71</v>
      </c>
      <c r="C4716" t="s">
        <v>4924</v>
      </c>
    </row>
    <row r="4717" spans="1:3" x14ac:dyDescent="0.3">
      <c r="A4717" s="426">
        <v>45092</v>
      </c>
      <c r="B4717">
        <v>25015.29</v>
      </c>
      <c r="C4717" t="s">
        <v>4925</v>
      </c>
    </row>
    <row r="4718" spans="1:3" x14ac:dyDescent="0.3">
      <c r="A4718" s="426">
        <v>45093</v>
      </c>
      <c r="B4718">
        <v>25558.12</v>
      </c>
      <c r="C4718" t="s">
        <v>4926</v>
      </c>
    </row>
    <row r="4719" spans="1:3" x14ac:dyDescent="0.3">
      <c r="A4719" s="426">
        <v>45094</v>
      </c>
      <c r="B4719">
        <v>26507.919999999998</v>
      </c>
      <c r="C4719" t="s">
        <v>4927</v>
      </c>
    </row>
    <row r="4720" spans="1:3" x14ac:dyDescent="0.3">
      <c r="A4720" s="426">
        <v>45095</v>
      </c>
      <c r="B4720">
        <v>26522.71</v>
      </c>
      <c r="C4720" t="s">
        <v>4928</v>
      </c>
    </row>
    <row r="4721" spans="1:3" x14ac:dyDescent="0.3">
      <c r="A4721" s="426">
        <v>45096</v>
      </c>
      <c r="B4721">
        <v>26436.06</v>
      </c>
      <c r="C4721" t="s">
        <v>4929</v>
      </c>
    </row>
    <row r="4722" spans="1:3" x14ac:dyDescent="0.3">
      <c r="A4722" s="426">
        <v>45097</v>
      </c>
      <c r="B4722">
        <v>26927.09</v>
      </c>
      <c r="C4722" t="s">
        <v>4930</v>
      </c>
    </row>
    <row r="4723" spans="1:3" x14ac:dyDescent="0.3">
      <c r="A4723" s="426">
        <v>45098</v>
      </c>
      <c r="B4723">
        <v>28982.76</v>
      </c>
      <c r="C4723" t="s">
        <v>4931</v>
      </c>
    </row>
    <row r="4724" spans="1:3" x14ac:dyDescent="0.3">
      <c r="A4724" s="426">
        <v>45099</v>
      </c>
      <c r="B4724">
        <v>30116.47</v>
      </c>
      <c r="C4724" t="s">
        <v>4932</v>
      </c>
    </row>
    <row r="4725" spans="1:3" x14ac:dyDescent="0.3">
      <c r="A4725" s="426">
        <v>45100</v>
      </c>
      <c r="B4725">
        <v>30101.08</v>
      </c>
      <c r="C4725" t="s">
        <v>4933</v>
      </c>
    </row>
    <row r="4726" spans="1:3" x14ac:dyDescent="0.3">
      <c r="A4726" s="426">
        <v>45101</v>
      </c>
      <c r="B4726">
        <v>30642.26</v>
      </c>
      <c r="C4726" t="s">
        <v>4934</v>
      </c>
    </row>
    <row r="4727" spans="1:3" x14ac:dyDescent="0.3">
      <c r="A4727" s="426">
        <v>45102</v>
      </c>
      <c r="B4727">
        <v>30633.1</v>
      </c>
      <c r="C4727" t="s">
        <v>4935</v>
      </c>
    </row>
    <row r="4728" spans="1:3" x14ac:dyDescent="0.3">
      <c r="A4728" s="426">
        <v>45103</v>
      </c>
      <c r="B4728">
        <v>30272.91</v>
      </c>
      <c r="C4728" t="s">
        <v>4936</v>
      </c>
    </row>
    <row r="4729" spans="1:3" x14ac:dyDescent="0.3">
      <c r="A4729" s="426">
        <v>45104</v>
      </c>
      <c r="B4729">
        <v>30603.65</v>
      </c>
      <c r="C4729" t="s">
        <v>4937</v>
      </c>
    </row>
    <row r="4730" spans="1:3" x14ac:dyDescent="0.3">
      <c r="A4730" s="426">
        <v>45105</v>
      </c>
      <c r="B4730">
        <v>30319.43</v>
      </c>
      <c r="C4730" t="s">
        <v>4938</v>
      </c>
    </row>
    <row r="4731" spans="1:3" x14ac:dyDescent="0.3">
      <c r="A4731" s="426">
        <v>45106</v>
      </c>
      <c r="B4731">
        <v>30447.14</v>
      </c>
      <c r="C4731" t="s">
        <v>4939</v>
      </c>
    </row>
    <row r="4732" spans="1:3" x14ac:dyDescent="0.3">
      <c r="A4732" s="426">
        <v>45107</v>
      </c>
      <c r="B4732">
        <v>30505.83</v>
      </c>
      <c r="C4732" t="s">
        <v>4940</v>
      </c>
    </row>
    <row r="4733" spans="1:3" x14ac:dyDescent="0.3">
      <c r="A4733" s="426">
        <v>45108</v>
      </c>
      <c r="B4733">
        <v>30560.45</v>
      </c>
      <c r="C4733" t="s">
        <v>4941</v>
      </c>
    </row>
    <row r="4734" spans="1:3" x14ac:dyDescent="0.3">
      <c r="A4734" s="426">
        <v>45109</v>
      </c>
      <c r="B4734">
        <v>30536.799999999999</v>
      </c>
      <c r="C4734" t="s">
        <v>4942</v>
      </c>
    </row>
    <row r="4735" spans="1:3" x14ac:dyDescent="0.3">
      <c r="A4735" s="426">
        <v>45110</v>
      </c>
      <c r="B4735">
        <v>30724.04</v>
      </c>
      <c r="C4735" t="s">
        <v>4943</v>
      </c>
    </row>
    <row r="4736" spans="1:3" x14ac:dyDescent="0.3">
      <c r="A4736" s="426">
        <v>45111</v>
      </c>
      <c r="B4736">
        <v>31013.35</v>
      </c>
      <c r="C4736" t="s">
        <v>4944</v>
      </c>
    </row>
    <row r="4737" spans="1:3" x14ac:dyDescent="0.3">
      <c r="A4737" s="426">
        <v>45112</v>
      </c>
      <c r="B4737">
        <v>30516.22</v>
      </c>
      <c r="C4737" t="s">
        <v>4945</v>
      </c>
    </row>
    <row r="4738" spans="1:3" x14ac:dyDescent="0.3">
      <c r="A4738" s="426">
        <v>45113</v>
      </c>
      <c r="B4738">
        <v>30472.3</v>
      </c>
      <c r="C4738" t="s">
        <v>4946</v>
      </c>
    </row>
    <row r="4739" spans="1:3" x14ac:dyDescent="0.3">
      <c r="A4739" s="426">
        <v>45114</v>
      </c>
      <c r="B4739">
        <v>30199.3</v>
      </c>
      <c r="C4739" t="s">
        <v>4947</v>
      </c>
    </row>
    <row r="4740" spans="1:3" x14ac:dyDescent="0.3">
      <c r="A4740" s="426">
        <v>45115</v>
      </c>
      <c r="B4740">
        <v>30232.7</v>
      </c>
      <c r="C4740" t="s">
        <v>4948</v>
      </c>
    </row>
    <row r="4741" spans="1:3" x14ac:dyDescent="0.3">
      <c r="A4741" s="426">
        <v>45116</v>
      </c>
      <c r="B4741">
        <v>30282.799999999999</v>
      </c>
      <c r="C4741" t="s">
        <v>4949</v>
      </c>
    </row>
    <row r="4742" spans="1:3" x14ac:dyDescent="0.3">
      <c r="A4742" s="426">
        <v>45117</v>
      </c>
      <c r="B4742">
        <v>30215.16</v>
      </c>
      <c r="C4742" t="s">
        <v>4950</v>
      </c>
    </row>
    <row r="4743" spans="1:3" x14ac:dyDescent="0.3">
      <c r="A4743" s="426">
        <v>45118</v>
      </c>
      <c r="B4743">
        <v>30514.76</v>
      </c>
      <c r="C4743" t="s">
        <v>4951</v>
      </c>
    </row>
    <row r="4744" spans="1:3" x14ac:dyDescent="0.3">
      <c r="A4744" s="426">
        <v>45119</v>
      </c>
      <c r="B4744">
        <v>30616.84</v>
      </c>
      <c r="C4744" t="s">
        <v>4952</v>
      </c>
    </row>
    <row r="4745" spans="1:3" x14ac:dyDescent="0.3">
      <c r="A4745" s="426">
        <v>45120</v>
      </c>
      <c r="B4745">
        <v>30565.22</v>
      </c>
      <c r="C4745" t="s">
        <v>4953</v>
      </c>
    </row>
    <row r="4746" spans="1:3" x14ac:dyDescent="0.3">
      <c r="A4746" s="426">
        <v>45121</v>
      </c>
      <c r="B4746">
        <v>31224.15</v>
      </c>
      <c r="C4746" t="s">
        <v>4954</v>
      </c>
    </row>
    <row r="4747" spans="1:3" x14ac:dyDescent="0.3">
      <c r="A4747" s="426">
        <v>45122</v>
      </c>
      <c r="B4747">
        <v>30317.33</v>
      </c>
      <c r="C4747" t="s">
        <v>4955</v>
      </c>
    </row>
    <row r="4748" spans="1:3" x14ac:dyDescent="0.3">
      <c r="A4748" s="426">
        <v>45123</v>
      </c>
      <c r="B4748">
        <v>30303.93</v>
      </c>
      <c r="C4748" t="s">
        <v>4956</v>
      </c>
    </row>
    <row r="4749" spans="1:3" x14ac:dyDescent="0.3">
      <c r="A4749" s="426">
        <v>45124</v>
      </c>
      <c r="B4749">
        <v>30230.51</v>
      </c>
      <c r="C4749" t="s">
        <v>4957</v>
      </c>
    </row>
    <row r="4750" spans="1:3" x14ac:dyDescent="0.3">
      <c r="A4750" s="426">
        <v>45125</v>
      </c>
      <c r="B4750">
        <v>29960.9</v>
      </c>
      <c r="C4750" t="s">
        <v>4958</v>
      </c>
    </row>
    <row r="4751" spans="1:3" x14ac:dyDescent="0.3">
      <c r="A4751" s="426">
        <v>45126</v>
      </c>
      <c r="B4751">
        <v>29989.599999999999</v>
      </c>
      <c r="C4751" t="s">
        <v>4959</v>
      </c>
    </row>
    <row r="4752" spans="1:3" x14ac:dyDescent="0.3">
      <c r="A4752" s="426">
        <v>45127</v>
      </c>
      <c r="B4752">
        <v>29981.919999999998</v>
      </c>
      <c r="C4752" t="s">
        <v>4960</v>
      </c>
    </row>
    <row r="4753" spans="1:3" x14ac:dyDescent="0.3">
      <c r="A4753" s="426">
        <v>45128</v>
      </c>
      <c r="B4753">
        <v>29868.76</v>
      </c>
      <c r="C4753" t="s">
        <v>4961</v>
      </c>
    </row>
    <row r="4754" spans="1:3" x14ac:dyDescent="0.3">
      <c r="A4754" s="426">
        <v>45129</v>
      </c>
      <c r="B4754">
        <v>29887.13</v>
      </c>
      <c r="C4754" t="s">
        <v>4962</v>
      </c>
    </row>
    <row r="4755" spans="1:3" x14ac:dyDescent="0.3">
      <c r="A4755" s="426">
        <v>45130</v>
      </c>
      <c r="B4755">
        <v>29912.799999999999</v>
      </c>
      <c r="C4755" t="s">
        <v>4963</v>
      </c>
    </row>
    <row r="4756" spans="1:3" x14ac:dyDescent="0.3">
      <c r="A4756" s="426">
        <v>45131</v>
      </c>
      <c r="B4756">
        <v>29226.29</v>
      </c>
      <c r="C4756" t="s">
        <v>4964</v>
      </c>
    </row>
    <row r="4757" spans="1:3" x14ac:dyDescent="0.3">
      <c r="A4757" s="426">
        <v>45132</v>
      </c>
      <c r="B4757">
        <v>29185.15</v>
      </c>
      <c r="C4757" t="s">
        <v>4965</v>
      </c>
    </row>
    <row r="4758" spans="1:3" x14ac:dyDescent="0.3">
      <c r="A4758" s="426">
        <v>45133</v>
      </c>
      <c r="B4758">
        <v>29257.67</v>
      </c>
      <c r="C4758" t="s">
        <v>4966</v>
      </c>
    </row>
    <row r="4759" spans="1:3" x14ac:dyDescent="0.3">
      <c r="A4759" s="426">
        <v>45134</v>
      </c>
      <c r="B4759">
        <v>29391.26</v>
      </c>
      <c r="C4759" t="s">
        <v>4967</v>
      </c>
    </row>
    <row r="4760" spans="1:3" x14ac:dyDescent="0.3">
      <c r="A4760" s="426">
        <v>45135</v>
      </c>
      <c r="B4760">
        <v>29268.06</v>
      </c>
      <c r="C4760" t="s">
        <v>4968</v>
      </c>
    </row>
    <row r="4761" spans="1:3" x14ac:dyDescent="0.3">
      <c r="A4761" s="426">
        <v>45136</v>
      </c>
      <c r="B4761">
        <v>29327.86</v>
      </c>
      <c r="C4761" t="s">
        <v>4969</v>
      </c>
    </row>
    <row r="4762" spans="1:3" x14ac:dyDescent="0.3">
      <c r="A4762" s="426">
        <v>45137</v>
      </c>
      <c r="B4762">
        <v>29314.6</v>
      </c>
      <c r="C4762" t="s">
        <v>4970</v>
      </c>
    </row>
    <row r="4763" spans="1:3" x14ac:dyDescent="0.3">
      <c r="A4763" s="426">
        <v>45138</v>
      </c>
      <c r="B4763">
        <v>29374.080000000002</v>
      </c>
      <c r="C4763" t="s">
        <v>4971</v>
      </c>
    </row>
    <row r="4764" spans="1:3" x14ac:dyDescent="0.3">
      <c r="A4764" s="426">
        <v>45139</v>
      </c>
      <c r="B4764">
        <v>28929.83</v>
      </c>
      <c r="C4764" t="s">
        <v>4972</v>
      </c>
    </row>
    <row r="4765" spans="1:3" x14ac:dyDescent="0.3">
      <c r="A4765" s="426">
        <v>45140</v>
      </c>
      <c r="B4765">
        <v>29464.43</v>
      </c>
      <c r="C4765" t="s">
        <v>4973</v>
      </c>
    </row>
    <row r="4766" spans="1:3" x14ac:dyDescent="0.3">
      <c r="A4766" s="426">
        <v>45141</v>
      </c>
      <c r="B4766">
        <v>29165.66</v>
      </c>
      <c r="C4766" t="s">
        <v>4974</v>
      </c>
    </row>
    <row r="4767" spans="1:3" x14ac:dyDescent="0.3">
      <c r="A4767" s="426">
        <v>45142</v>
      </c>
      <c r="B4767">
        <v>29162.62</v>
      </c>
      <c r="C4767" t="s">
        <v>4975</v>
      </c>
    </row>
    <row r="4768" spans="1:3" x14ac:dyDescent="0.3">
      <c r="A4768" s="426">
        <v>45143</v>
      </c>
      <c r="B4768">
        <v>29032.15</v>
      </c>
      <c r="C4768" t="s">
        <v>4976</v>
      </c>
    </row>
    <row r="4769" spans="1:3" x14ac:dyDescent="0.3">
      <c r="A4769" s="426">
        <v>45144</v>
      </c>
      <c r="B4769">
        <v>29040.44</v>
      </c>
      <c r="C4769" t="s">
        <v>4977</v>
      </c>
    </row>
    <row r="4770" spans="1:3" x14ac:dyDescent="0.3">
      <c r="A4770" s="426">
        <v>45145</v>
      </c>
      <c r="B4770">
        <v>29043.19</v>
      </c>
      <c r="C4770" t="s">
        <v>4978</v>
      </c>
    </row>
    <row r="4771" spans="1:3" x14ac:dyDescent="0.3">
      <c r="A4771" s="426">
        <v>45146</v>
      </c>
      <c r="B4771">
        <v>29391.34</v>
      </c>
      <c r="C4771" t="s">
        <v>4979</v>
      </c>
    </row>
    <row r="4772" spans="1:3" x14ac:dyDescent="0.3">
      <c r="A4772" s="426">
        <v>45147</v>
      </c>
      <c r="B4772">
        <v>29745.78</v>
      </c>
      <c r="C4772" t="s">
        <v>4980</v>
      </c>
    </row>
    <row r="4773" spans="1:3" x14ac:dyDescent="0.3">
      <c r="A4773" s="426">
        <v>45148</v>
      </c>
      <c r="B4773">
        <v>29486.89</v>
      </c>
      <c r="C4773" t="s">
        <v>4981</v>
      </c>
    </row>
    <row r="4774" spans="1:3" x14ac:dyDescent="0.3">
      <c r="A4774" s="426">
        <v>45149</v>
      </c>
      <c r="B4774">
        <v>29383.37</v>
      </c>
      <c r="C4774" t="s">
        <v>4982</v>
      </c>
    </row>
    <row r="4775" spans="1:3" x14ac:dyDescent="0.3">
      <c r="A4775" s="426">
        <v>45150</v>
      </c>
      <c r="B4775">
        <v>29406.15</v>
      </c>
      <c r="C4775" t="s">
        <v>4983</v>
      </c>
    </row>
    <row r="4776" spans="1:3" x14ac:dyDescent="0.3">
      <c r="A4776" s="426">
        <v>45151</v>
      </c>
      <c r="B4776">
        <v>29382.38</v>
      </c>
      <c r="C4776" t="s">
        <v>4984</v>
      </c>
    </row>
    <row r="4777" spans="1:3" x14ac:dyDescent="0.3">
      <c r="A4777" s="426">
        <v>45152</v>
      </c>
      <c r="B4777">
        <v>29372.37</v>
      </c>
      <c r="C4777" t="s">
        <v>4985</v>
      </c>
    </row>
    <row r="4778" spans="1:3" x14ac:dyDescent="0.3">
      <c r="A4778" s="426">
        <v>45153</v>
      </c>
      <c r="B4778">
        <v>29339.67</v>
      </c>
      <c r="C4778" t="s">
        <v>4986</v>
      </c>
    </row>
    <row r="4779" spans="1:3" x14ac:dyDescent="0.3">
      <c r="A4779" s="426">
        <v>45154</v>
      </c>
      <c r="B4779">
        <v>29126.58</v>
      </c>
      <c r="C4779" t="s">
        <v>4987</v>
      </c>
    </row>
    <row r="4780" spans="1:3" x14ac:dyDescent="0.3">
      <c r="A4780" s="426">
        <v>45155</v>
      </c>
      <c r="B4780">
        <v>28489.86</v>
      </c>
      <c r="C4780" t="s">
        <v>4988</v>
      </c>
    </row>
    <row r="4781" spans="1:3" x14ac:dyDescent="0.3">
      <c r="A4781" s="426">
        <v>45156</v>
      </c>
      <c r="B4781">
        <v>26324.87</v>
      </c>
      <c r="C4781" t="s">
        <v>4989</v>
      </c>
    </row>
    <row r="4782" spans="1:3" x14ac:dyDescent="0.3">
      <c r="A4782" s="426">
        <v>45157</v>
      </c>
      <c r="B4782">
        <v>26003.14</v>
      </c>
      <c r="C4782" t="s">
        <v>4990</v>
      </c>
    </row>
    <row r="4783" spans="1:3" x14ac:dyDescent="0.3">
      <c r="A4783" s="426">
        <v>45158</v>
      </c>
      <c r="B4783">
        <v>26126.62</v>
      </c>
      <c r="C4783" t="s">
        <v>4991</v>
      </c>
    </row>
    <row r="4784" spans="1:3" x14ac:dyDescent="0.3">
      <c r="A4784" s="426">
        <v>45159</v>
      </c>
      <c r="B4784">
        <v>26061.13</v>
      </c>
      <c r="C4784" t="s">
        <v>4992</v>
      </c>
    </row>
    <row r="4785" spans="1:3" x14ac:dyDescent="0.3">
      <c r="A4785" s="426">
        <v>45160</v>
      </c>
      <c r="B4785">
        <v>26032.55</v>
      </c>
      <c r="C4785" t="s">
        <v>4993</v>
      </c>
    </row>
    <row r="4786" spans="1:3" x14ac:dyDescent="0.3">
      <c r="A4786" s="426">
        <v>45161</v>
      </c>
      <c r="B4786">
        <v>26055.61</v>
      </c>
      <c r="C4786" t="s">
        <v>4994</v>
      </c>
    </row>
    <row r="4787" spans="1:3" x14ac:dyDescent="0.3">
      <c r="A4787" s="426">
        <v>45162</v>
      </c>
      <c r="B4787">
        <v>26381.98</v>
      </c>
      <c r="C4787" t="s">
        <v>4995</v>
      </c>
    </row>
    <row r="4788" spans="1:3" x14ac:dyDescent="0.3">
      <c r="A4788" s="426">
        <v>45163</v>
      </c>
      <c r="B4788">
        <v>26048.93</v>
      </c>
      <c r="C4788" t="s">
        <v>4996</v>
      </c>
    </row>
    <row r="4789" spans="1:3" x14ac:dyDescent="0.3">
      <c r="A4789" s="426">
        <v>45164</v>
      </c>
      <c r="B4789">
        <v>26029.54</v>
      </c>
      <c r="C4789" t="s">
        <v>4997</v>
      </c>
    </row>
    <row r="4790" spans="1:3" x14ac:dyDescent="0.3">
      <c r="A4790" s="426">
        <v>45165</v>
      </c>
      <c r="B4790">
        <v>26057.87</v>
      </c>
      <c r="C4790" t="s">
        <v>4998</v>
      </c>
    </row>
    <row r="4791" spans="1:3" x14ac:dyDescent="0.3">
      <c r="A4791" s="426">
        <v>45166</v>
      </c>
      <c r="B4791">
        <v>26016.25</v>
      </c>
      <c r="C4791" t="s">
        <v>4999</v>
      </c>
    </row>
    <row r="4792" spans="1:3" x14ac:dyDescent="0.3">
      <c r="A4792" s="426">
        <v>45167</v>
      </c>
      <c r="B4792">
        <v>26092.26</v>
      </c>
      <c r="C4792" t="s">
        <v>5000</v>
      </c>
    </row>
    <row r="4793" spans="1:3" x14ac:dyDescent="0.3">
      <c r="A4793" s="426">
        <v>45168</v>
      </c>
      <c r="B4793">
        <v>27372.93</v>
      </c>
      <c r="C4793" t="s">
        <v>5001</v>
      </c>
    </row>
    <row r="4794" spans="1:3" x14ac:dyDescent="0.3">
      <c r="A4794" s="426">
        <v>45169</v>
      </c>
      <c r="B4794">
        <v>27196.21</v>
      </c>
      <c r="C4794" t="s">
        <v>5002</v>
      </c>
    </row>
    <row r="4795" spans="1:3" x14ac:dyDescent="0.3">
      <c r="A4795" s="426">
        <v>45170</v>
      </c>
      <c r="B4795">
        <v>25976.45</v>
      </c>
      <c r="C4795" t="s">
        <v>5003</v>
      </c>
    </row>
    <row r="4796" spans="1:3" x14ac:dyDescent="0.3">
      <c r="A4796" s="426">
        <v>45171</v>
      </c>
      <c r="B4796">
        <v>25814.95</v>
      </c>
      <c r="C4796" t="s">
        <v>5004</v>
      </c>
    </row>
    <row r="4797" spans="1:3" x14ac:dyDescent="0.3">
      <c r="A4797" s="426">
        <v>45172</v>
      </c>
      <c r="B4797">
        <v>25912.71</v>
      </c>
      <c r="C4797" t="s">
        <v>5005</v>
      </c>
    </row>
    <row r="4798" spans="1:3" x14ac:dyDescent="0.3">
      <c r="A4798" s="426">
        <v>45173</v>
      </c>
      <c r="B4798">
        <v>25894.41</v>
      </c>
      <c r="C4798" t="s">
        <v>5006</v>
      </c>
    </row>
    <row r="4799" spans="1:3" x14ac:dyDescent="0.3">
      <c r="A4799" s="426">
        <v>45174</v>
      </c>
      <c r="B4799">
        <v>25723.57</v>
      </c>
      <c r="C4799" t="s">
        <v>5007</v>
      </c>
    </row>
    <row r="4800" spans="1:3" x14ac:dyDescent="0.3">
      <c r="A4800" s="426">
        <v>45175</v>
      </c>
      <c r="B4800">
        <v>25727.71</v>
      </c>
      <c r="C4800" t="s">
        <v>5008</v>
      </c>
    </row>
    <row r="4801" spans="1:3" x14ac:dyDescent="0.3">
      <c r="A4801" s="426">
        <v>45176</v>
      </c>
      <c r="B4801">
        <v>25775.200000000001</v>
      </c>
      <c r="C4801" t="s">
        <v>5009</v>
      </c>
    </row>
    <row r="4802" spans="1:3" x14ac:dyDescent="0.3">
      <c r="A4802" s="426">
        <v>45177</v>
      </c>
      <c r="B4802">
        <v>25903.49</v>
      </c>
      <c r="C4802" t="s">
        <v>5010</v>
      </c>
    </row>
    <row r="4803" spans="1:3" x14ac:dyDescent="0.3">
      <c r="A4803" s="426">
        <v>45178</v>
      </c>
      <c r="B4803">
        <v>25869.43</v>
      </c>
      <c r="C4803" t="s">
        <v>5011</v>
      </c>
    </row>
    <row r="4804" spans="1:3" x14ac:dyDescent="0.3">
      <c r="A4804" s="426">
        <v>45179</v>
      </c>
      <c r="B4804">
        <v>25825.78</v>
      </c>
      <c r="C4804" t="s">
        <v>5012</v>
      </c>
    </row>
    <row r="4805" spans="1:3" x14ac:dyDescent="0.3">
      <c r="A4805" s="426">
        <v>45180</v>
      </c>
      <c r="B4805">
        <v>25658.94</v>
      </c>
      <c r="C4805" t="s">
        <v>5013</v>
      </c>
    </row>
    <row r="4806" spans="1:3" x14ac:dyDescent="0.3">
      <c r="A4806" s="426">
        <v>45181</v>
      </c>
      <c r="B4806">
        <v>25965.84</v>
      </c>
      <c r="C4806" t="s">
        <v>5014</v>
      </c>
    </row>
    <row r="4807" spans="1:3" x14ac:dyDescent="0.3">
      <c r="A4807" s="426">
        <v>45182</v>
      </c>
      <c r="B4807">
        <v>26119.05</v>
      </c>
      <c r="C4807" t="s">
        <v>5015</v>
      </c>
    </row>
    <row r="4808" spans="1:3" x14ac:dyDescent="0.3">
      <c r="A4808" s="426">
        <v>45183</v>
      </c>
      <c r="B4808">
        <v>26468.639999999999</v>
      </c>
      <c r="C4808" t="s">
        <v>5016</v>
      </c>
    </row>
    <row r="4809" spans="1:3" x14ac:dyDescent="0.3">
      <c r="A4809" s="426">
        <v>45184</v>
      </c>
      <c r="B4809">
        <v>26506.1</v>
      </c>
      <c r="C4809" t="s">
        <v>5017</v>
      </c>
    </row>
    <row r="4810" spans="1:3" x14ac:dyDescent="0.3">
      <c r="A4810" s="426">
        <v>45185</v>
      </c>
      <c r="B4810">
        <v>26547.47</v>
      </c>
      <c r="C4810" t="s">
        <v>5018</v>
      </c>
    </row>
    <row r="4811" spans="1:3" x14ac:dyDescent="0.3">
      <c r="A4811" s="426">
        <v>45186</v>
      </c>
      <c r="B4811">
        <v>26536.81</v>
      </c>
      <c r="C4811" t="s">
        <v>5019</v>
      </c>
    </row>
    <row r="4812" spans="1:3" x14ac:dyDescent="0.3">
      <c r="A4812" s="426">
        <v>45187</v>
      </c>
      <c r="B4812">
        <v>26771.74</v>
      </c>
      <c r="C4812" t="s">
        <v>5020</v>
      </c>
    </row>
    <row r="4813" spans="1:3" x14ac:dyDescent="0.3">
      <c r="A4813" s="426">
        <v>45188</v>
      </c>
      <c r="B4813">
        <v>27142.45</v>
      </c>
      <c r="C4813" t="s">
        <v>5021</v>
      </c>
    </row>
    <row r="4814" spans="1:3" x14ac:dyDescent="0.3">
      <c r="A4814" s="426">
        <v>45189</v>
      </c>
      <c r="B4814">
        <v>27129.57</v>
      </c>
      <c r="C4814" t="s">
        <v>5022</v>
      </c>
    </row>
    <row r="4815" spans="1:3" x14ac:dyDescent="0.3">
      <c r="A4815" s="426">
        <v>45190</v>
      </c>
      <c r="B4815">
        <v>26681.65</v>
      </c>
      <c r="C4815" t="s">
        <v>5023</v>
      </c>
    </row>
    <row r="4816" spans="1:3" x14ac:dyDescent="0.3">
      <c r="A4816" s="426">
        <v>45191</v>
      </c>
      <c r="B4816">
        <v>26615.77</v>
      </c>
      <c r="C4816" t="s">
        <v>5024</v>
      </c>
    </row>
    <row r="4817" spans="1:3" x14ac:dyDescent="0.3">
      <c r="A4817" s="426">
        <v>45192</v>
      </c>
      <c r="B4817">
        <v>26576.34</v>
      </c>
      <c r="C4817" t="s">
        <v>5025</v>
      </c>
    </row>
    <row r="4818" spans="1:3" x14ac:dyDescent="0.3">
      <c r="A4818" s="426">
        <v>45193</v>
      </c>
      <c r="B4818">
        <v>26575.74</v>
      </c>
      <c r="C4818" t="s">
        <v>5026</v>
      </c>
    </row>
    <row r="4819" spans="1:3" x14ac:dyDescent="0.3">
      <c r="A4819" s="426">
        <v>45194</v>
      </c>
      <c r="B4819">
        <v>26175.51</v>
      </c>
      <c r="C4819" t="s">
        <v>5027</v>
      </c>
    </row>
    <row r="4820" spans="1:3" x14ac:dyDescent="0.3">
      <c r="A4820" s="426">
        <v>45195</v>
      </c>
      <c r="B4820">
        <v>26244.27</v>
      </c>
      <c r="C4820" t="s">
        <v>5028</v>
      </c>
    </row>
    <row r="4821" spans="1:3" x14ac:dyDescent="0.3">
      <c r="A4821" s="426">
        <v>45196</v>
      </c>
      <c r="B4821">
        <v>26257.91</v>
      </c>
      <c r="C4821" t="s">
        <v>5029</v>
      </c>
    </row>
    <row r="4822" spans="1:3" x14ac:dyDescent="0.3">
      <c r="A4822" s="426">
        <v>45197</v>
      </c>
      <c r="B4822">
        <v>26517.25</v>
      </c>
      <c r="C4822" t="s">
        <v>5030</v>
      </c>
    </row>
    <row r="4823" spans="1:3" x14ac:dyDescent="0.3">
      <c r="A4823" s="426">
        <v>45198</v>
      </c>
      <c r="B4823">
        <v>26943.73</v>
      </c>
      <c r="C4823" t="s">
        <v>5031</v>
      </c>
    </row>
    <row r="4824" spans="1:3" x14ac:dyDescent="0.3">
      <c r="A4824" s="426">
        <v>45199</v>
      </c>
      <c r="B4824">
        <v>26971.599999999999</v>
      </c>
      <c r="C4824" t="s">
        <v>5032</v>
      </c>
    </row>
    <row r="4825" spans="1:3" x14ac:dyDescent="0.3">
      <c r="A4825" s="426">
        <v>45200</v>
      </c>
      <c r="B4825">
        <v>27126.95</v>
      </c>
      <c r="C4825" t="s">
        <v>5033</v>
      </c>
    </row>
    <row r="4826" spans="1:3" x14ac:dyDescent="0.3">
      <c r="A4826" s="426">
        <v>45201</v>
      </c>
      <c r="B4826">
        <v>28053.25</v>
      </c>
      <c r="C4826" t="s">
        <v>5034</v>
      </c>
    </row>
    <row r="4827" spans="1:3" x14ac:dyDescent="0.3">
      <c r="A4827" s="426">
        <v>45202</v>
      </c>
      <c r="B4827">
        <v>27505.16</v>
      </c>
      <c r="C4827" t="s">
        <v>5035</v>
      </c>
    </row>
    <row r="4828" spans="1:3" x14ac:dyDescent="0.3">
      <c r="A4828" s="426">
        <v>45203</v>
      </c>
      <c r="B4828">
        <v>27529.39</v>
      </c>
      <c r="C4828" t="s">
        <v>5036</v>
      </c>
    </row>
    <row r="4829" spans="1:3" x14ac:dyDescent="0.3">
      <c r="A4829" s="426">
        <v>45204</v>
      </c>
      <c r="B4829">
        <v>27669.57</v>
      </c>
      <c r="C4829" t="s">
        <v>5037</v>
      </c>
    </row>
    <row r="4830" spans="1:3" x14ac:dyDescent="0.3">
      <c r="A4830" s="426">
        <v>45205</v>
      </c>
      <c r="B4830">
        <v>27697.48</v>
      </c>
      <c r="C4830" t="s">
        <v>5038</v>
      </c>
    </row>
    <row r="4831" spans="1:3" x14ac:dyDescent="0.3">
      <c r="A4831" s="426">
        <v>45206</v>
      </c>
      <c r="B4831">
        <v>27947.03</v>
      </c>
      <c r="C4831" t="s">
        <v>5039</v>
      </c>
    </row>
    <row r="4832" spans="1:3" x14ac:dyDescent="0.3">
      <c r="A4832" s="426">
        <v>45207</v>
      </c>
      <c r="B4832">
        <v>27922.560000000001</v>
      </c>
      <c r="C4832" t="s">
        <v>5040</v>
      </c>
    </row>
    <row r="4833" spans="1:3" x14ac:dyDescent="0.3">
      <c r="A4833" s="426">
        <v>45208</v>
      </c>
      <c r="B4833">
        <v>27608.880000000001</v>
      </c>
      <c r="C4833" t="s">
        <v>5041</v>
      </c>
    </row>
    <row r="4834" spans="1:3" x14ac:dyDescent="0.3">
      <c r="A4834" s="426">
        <v>45209</v>
      </c>
      <c r="B4834">
        <v>27568.959999999999</v>
      </c>
      <c r="C4834" t="s">
        <v>5042</v>
      </c>
    </row>
    <row r="4835" spans="1:3" x14ac:dyDescent="0.3">
      <c r="A4835" s="426">
        <v>45210</v>
      </c>
      <c r="B4835">
        <v>27085.4</v>
      </c>
      <c r="C4835" t="s">
        <v>5043</v>
      </c>
    </row>
    <row r="4836" spans="1:3" x14ac:dyDescent="0.3">
      <c r="A4836" s="426">
        <v>45211</v>
      </c>
      <c r="B4836">
        <v>26753.919999999998</v>
      </c>
      <c r="C4836" t="s">
        <v>5044</v>
      </c>
    </row>
    <row r="4837" spans="1:3" x14ac:dyDescent="0.3">
      <c r="A4837" s="426">
        <v>45212</v>
      </c>
      <c r="B4837">
        <v>26805.63</v>
      </c>
      <c r="C4837" t="s">
        <v>5045</v>
      </c>
    </row>
    <row r="4838" spans="1:3" x14ac:dyDescent="0.3">
      <c r="A4838" s="426">
        <v>45213</v>
      </c>
      <c r="B4838">
        <v>26878.66</v>
      </c>
      <c r="C4838" t="s">
        <v>5046</v>
      </c>
    </row>
    <row r="4839" spans="1:3" x14ac:dyDescent="0.3">
      <c r="A4839" s="426">
        <v>45214</v>
      </c>
      <c r="B4839">
        <v>26900.880000000001</v>
      </c>
      <c r="C4839" t="s">
        <v>5047</v>
      </c>
    </row>
    <row r="4840" spans="1:3" x14ac:dyDescent="0.3">
      <c r="A4840" s="426">
        <v>45215</v>
      </c>
      <c r="B4840">
        <v>27906.65</v>
      </c>
      <c r="C4840" t="s">
        <v>5048</v>
      </c>
    </row>
    <row r="4841" spans="1:3" x14ac:dyDescent="0.3">
      <c r="A4841" s="426">
        <v>45216</v>
      </c>
      <c r="B4841">
        <v>28437</v>
      </c>
      <c r="C4841" t="s">
        <v>5049</v>
      </c>
    </row>
    <row r="4842" spans="1:3" x14ac:dyDescent="0.3">
      <c r="A4842" s="426">
        <v>45217</v>
      </c>
      <c r="B4842">
        <v>28369.01</v>
      </c>
      <c r="C4842" t="s">
        <v>5050</v>
      </c>
    </row>
    <row r="4843" spans="1:3" x14ac:dyDescent="0.3">
      <c r="A4843" s="426">
        <v>45218</v>
      </c>
      <c r="B4843">
        <v>28492.18</v>
      </c>
      <c r="C4843" t="s">
        <v>5051</v>
      </c>
    </row>
    <row r="4844" spans="1:3" x14ac:dyDescent="0.3">
      <c r="A4844" s="426">
        <v>45219</v>
      </c>
      <c r="B4844">
        <v>29554.1</v>
      </c>
      <c r="C4844" t="s">
        <v>5052</v>
      </c>
    </row>
    <row r="4845" spans="1:3" x14ac:dyDescent="0.3">
      <c r="A4845" s="426">
        <v>45220</v>
      </c>
      <c r="B4845">
        <v>29805.22</v>
      </c>
      <c r="C4845" t="s">
        <v>5053</v>
      </c>
    </row>
    <row r="4846" spans="1:3" x14ac:dyDescent="0.3">
      <c r="A4846" s="426">
        <v>45221</v>
      </c>
      <c r="B4846">
        <v>29916.639999999999</v>
      </c>
      <c r="C4846" t="s">
        <v>5054</v>
      </c>
    </row>
    <row r="4847" spans="1:3" x14ac:dyDescent="0.3">
      <c r="A4847" s="426">
        <v>45222</v>
      </c>
      <c r="B4847">
        <v>30725.07</v>
      </c>
      <c r="C4847" t="s">
        <v>5055</v>
      </c>
    </row>
    <row r="4848" spans="1:3" x14ac:dyDescent="0.3">
      <c r="A4848" s="426">
        <v>45223</v>
      </c>
      <c r="B4848">
        <v>34082.519999999997</v>
      </c>
      <c r="C4848" t="s">
        <v>5056</v>
      </c>
    </row>
    <row r="4849" spans="1:3" x14ac:dyDescent="0.3">
      <c r="A4849" s="426">
        <v>45224</v>
      </c>
      <c r="B4849">
        <v>34343.17</v>
      </c>
      <c r="C4849" t="s">
        <v>5057</v>
      </c>
    </row>
    <row r="4850" spans="1:3" x14ac:dyDescent="0.3">
      <c r="A4850" s="426">
        <v>45225</v>
      </c>
      <c r="B4850">
        <v>34279.83</v>
      </c>
      <c r="C4850" t="s">
        <v>5058</v>
      </c>
    </row>
    <row r="4851" spans="1:3" x14ac:dyDescent="0.3">
      <c r="A4851" s="426">
        <v>45226</v>
      </c>
      <c r="B4851">
        <v>34018.449999999997</v>
      </c>
      <c r="C4851" t="s">
        <v>5059</v>
      </c>
    </row>
    <row r="4852" spans="1:3" x14ac:dyDescent="0.3">
      <c r="A4852" s="426">
        <v>45227</v>
      </c>
      <c r="B4852">
        <v>34098.160000000003</v>
      </c>
      <c r="C4852" t="s">
        <v>5060</v>
      </c>
    </row>
    <row r="4853" spans="1:3" x14ac:dyDescent="0.3">
      <c r="A4853" s="426">
        <v>45228</v>
      </c>
      <c r="B4853">
        <v>34319.040000000001</v>
      </c>
      <c r="C4853" t="s">
        <v>5061</v>
      </c>
    </row>
    <row r="4854" spans="1:3" x14ac:dyDescent="0.3">
      <c r="A4854" s="426">
        <v>45229</v>
      </c>
      <c r="B4854">
        <v>34471.25</v>
      </c>
      <c r="C4854" t="s">
        <v>5062</v>
      </c>
    </row>
    <row r="4855" spans="1:3" x14ac:dyDescent="0.3">
      <c r="A4855" s="426">
        <v>45230</v>
      </c>
      <c r="B4855">
        <v>34400.75</v>
      </c>
      <c r="C4855" t="s">
        <v>5063</v>
      </c>
    </row>
    <row r="4856" spans="1:3" x14ac:dyDescent="0.3">
      <c r="A4856" s="426">
        <v>45231</v>
      </c>
      <c r="B4856">
        <v>34472.089999999997</v>
      </c>
      <c r="C4856" t="s">
        <v>5064</v>
      </c>
    </row>
    <row r="4857" spans="1:3" x14ac:dyDescent="0.3">
      <c r="A4857" s="426">
        <v>45232</v>
      </c>
      <c r="B4857">
        <v>35243.69</v>
      </c>
      <c r="C4857" t="s">
        <v>5065</v>
      </c>
    </row>
    <row r="4858" spans="1:3" x14ac:dyDescent="0.3">
      <c r="A4858" s="426">
        <v>45233</v>
      </c>
      <c r="B4858">
        <v>34577.440000000002</v>
      </c>
      <c r="C4858" t="s">
        <v>5066</v>
      </c>
    </row>
    <row r="4859" spans="1:3" x14ac:dyDescent="0.3">
      <c r="A4859" s="426">
        <v>45234</v>
      </c>
      <c r="B4859">
        <v>34768.67</v>
      </c>
      <c r="C4859" t="s">
        <v>5067</v>
      </c>
    </row>
    <row r="4860" spans="1:3" x14ac:dyDescent="0.3">
      <c r="A4860" s="426">
        <v>45235</v>
      </c>
      <c r="B4860">
        <v>35089.58</v>
      </c>
      <c r="C4860" t="s">
        <v>5068</v>
      </c>
    </row>
    <row r="4861" spans="1:3" x14ac:dyDescent="0.3">
      <c r="A4861" s="426">
        <v>45236</v>
      </c>
      <c r="B4861">
        <v>35008.589999999997</v>
      </c>
      <c r="C4861" t="s">
        <v>5069</v>
      </c>
    </row>
    <row r="4862" spans="1:3" x14ac:dyDescent="0.3">
      <c r="A4862" s="426">
        <v>45237</v>
      </c>
      <c r="B4862">
        <v>34916.519999999997</v>
      </c>
      <c r="C4862" t="s">
        <v>5070</v>
      </c>
    </row>
    <row r="4863" spans="1:3" x14ac:dyDescent="0.3">
      <c r="A4863" s="426">
        <v>45238</v>
      </c>
      <c r="B4863">
        <v>35355.19</v>
      </c>
      <c r="C4863" t="s">
        <v>5071</v>
      </c>
    </row>
    <row r="4864" spans="1:3" x14ac:dyDescent="0.3">
      <c r="A4864" s="426">
        <v>45239</v>
      </c>
      <c r="B4864">
        <v>36593.68</v>
      </c>
      <c r="C4864" t="s">
        <v>5072</v>
      </c>
    </row>
    <row r="4865" spans="1:3" x14ac:dyDescent="0.3">
      <c r="A4865" s="426">
        <v>45240</v>
      </c>
      <c r="B4865">
        <v>36969.79</v>
      </c>
      <c r="C4865" t="s">
        <v>5073</v>
      </c>
    </row>
    <row r="4866" spans="1:3" x14ac:dyDescent="0.3">
      <c r="A4866" s="426">
        <v>45241</v>
      </c>
      <c r="B4866">
        <v>37092.160000000003</v>
      </c>
      <c r="C4866" t="s">
        <v>5074</v>
      </c>
    </row>
    <row r="4867" spans="1:3" x14ac:dyDescent="0.3">
      <c r="A4867" s="426">
        <v>45242</v>
      </c>
      <c r="B4867">
        <v>37105.39</v>
      </c>
      <c r="C4867" t="s">
        <v>5075</v>
      </c>
    </row>
    <row r="4868" spans="1:3" x14ac:dyDescent="0.3">
      <c r="A4868" s="426">
        <v>45243</v>
      </c>
      <c r="B4868">
        <v>36880.81</v>
      </c>
      <c r="C4868" t="s">
        <v>5076</v>
      </c>
    </row>
    <row r="4869" spans="1:3" x14ac:dyDescent="0.3">
      <c r="A4869" s="426">
        <v>45244</v>
      </c>
      <c r="B4869">
        <v>36358.699999999997</v>
      </c>
      <c r="C4869" t="s">
        <v>5077</v>
      </c>
    </row>
    <row r="4870" spans="1:3" x14ac:dyDescent="0.3">
      <c r="A4870" s="426">
        <v>45245</v>
      </c>
      <c r="B4870">
        <v>36119.65</v>
      </c>
      <c r="C4870" t="s">
        <v>5078</v>
      </c>
    </row>
    <row r="4871" spans="1:3" x14ac:dyDescent="0.3">
      <c r="A4871" s="426">
        <v>45246</v>
      </c>
      <c r="B4871">
        <v>37230.699999999997</v>
      </c>
      <c r="C4871" t="s">
        <v>5079</v>
      </c>
    </row>
    <row r="4872" spans="1:3" x14ac:dyDescent="0.3">
      <c r="A4872" s="426">
        <v>45247</v>
      </c>
      <c r="B4872">
        <v>36393.480000000003</v>
      </c>
      <c r="C4872" t="s">
        <v>5080</v>
      </c>
    </row>
    <row r="4873" spans="1:3" x14ac:dyDescent="0.3">
      <c r="A4873" s="426">
        <v>45248</v>
      </c>
      <c r="B4873">
        <v>36469.93</v>
      </c>
      <c r="C4873" t="s">
        <v>5081</v>
      </c>
    </row>
    <row r="4874" spans="1:3" x14ac:dyDescent="0.3">
      <c r="A4874" s="426">
        <v>45249</v>
      </c>
      <c r="B4874">
        <v>36578.33</v>
      </c>
      <c r="C4874" t="s">
        <v>5082</v>
      </c>
    </row>
    <row r="4875" spans="1:3" x14ac:dyDescent="0.3">
      <c r="A4875" s="426">
        <v>45250</v>
      </c>
      <c r="B4875">
        <v>37304.620000000003</v>
      </c>
      <c r="C4875" t="s">
        <v>5083</v>
      </c>
    </row>
    <row r="4876" spans="1:3" x14ac:dyDescent="0.3">
      <c r="A4876" s="426">
        <v>45251</v>
      </c>
      <c r="B4876">
        <v>37226.870000000003</v>
      </c>
      <c r="C4876" t="s">
        <v>5084</v>
      </c>
    </row>
    <row r="4877" spans="1:3" x14ac:dyDescent="0.3">
      <c r="A4877" s="426">
        <v>45252</v>
      </c>
      <c r="B4877">
        <v>36533.519999999997</v>
      </c>
      <c r="C4877" t="s">
        <v>5085</v>
      </c>
    </row>
    <row r="4878" spans="1:3" x14ac:dyDescent="0.3">
      <c r="A4878" s="426">
        <v>45253</v>
      </c>
      <c r="B4878">
        <v>37320.82</v>
      </c>
      <c r="C4878" t="s">
        <v>5086</v>
      </c>
    </row>
    <row r="4879" spans="1:3" x14ac:dyDescent="0.3">
      <c r="A4879" s="426">
        <v>45254</v>
      </c>
      <c r="B4879">
        <v>37708.730000000003</v>
      </c>
      <c r="C4879" t="s">
        <v>5087</v>
      </c>
    </row>
    <row r="4880" spans="1:3" x14ac:dyDescent="0.3">
      <c r="A4880" s="426">
        <v>45255</v>
      </c>
      <c r="B4880">
        <v>37785.35</v>
      </c>
      <c r="C4880" t="s">
        <v>5088</v>
      </c>
    </row>
    <row r="4881" spans="1:3" x14ac:dyDescent="0.3">
      <c r="A4881" s="426">
        <v>45256</v>
      </c>
      <c r="B4881">
        <v>37700.080000000002</v>
      </c>
      <c r="C4881" t="s">
        <v>5089</v>
      </c>
    </row>
    <row r="4882" spans="1:3" x14ac:dyDescent="0.3">
      <c r="A4882" s="426">
        <v>45257</v>
      </c>
      <c r="B4882">
        <v>37125.9</v>
      </c>
      <c r="C4882" t="s">
        <v>5090</v>
      </c>
    </row>
    <row r="4883" spans="1:3" x14ac:dyDescent="0.3">
      <c r="A4883" s="426">
        <v>45258</v>
      </c>
      <c r="B4883">
        <v>37251.040000000001</v>
      </c>
      <c r="C4883" t="s">
        <v>5091</v>
      </c>
    </row>
    <row r="4884" spans="1:3" x14ac:dyDescent="0.3">
      <c r="A4884" s="426">
        <v>45259</v>
      </c>
      <c r="B4884">
        <v>37957.19</v>
      </c>
      <c r="C4884" t="s">
        <v>5092</v>
      </c>
    </row>
    <row r="4885" spans="1:3" x14ac:dyDescent="0.3">
      <c r="A4885" s="426">
        <v>45260</v>
      </c>
      <c r="B4885">
        <v>37754.76</v>
      </c>
      <c r="C4885" t="s">
        <v>5093</v>
      </c>
    </row>
    <row r="4886" spans="1:3" x14ac:dyDescent="0.3">
      <c r="A4886" s="426">
        <v>45261</v>
      </c>
      <c r="B4886">
        <v>38421.769999999997</v>
      </c>
      <c r="C4886" t="s">
        <v>5094</v>
      </c>
    </row>
    <row r="4887" spans="1:3" x14ac:dyDescent="0.3">
      <c r="A4887" s="426">
        <v>45262</v>
      </c>
      <c r="B4887">
        <v>38790.42</v>
      </c>
      <c r="C4887" t="s">
        <v>5095</v>
      </c>
    </row>
    <row r="4888" spans="1:3" x14ac:dyDescent="0.3">
      <c r="A4888" s="426">
        <v>45263</v>
      </c>
      <c r="B4888">
        <v>39529.980000000003</v>
      </c>
      <c r="C4888" t="s">
        <v>5096</v>
      </c>
    </row>
    <row r="4889" spans="1:3" x14ac:dyDescent="0.3">
      <c r="A4889" s="426">
        <v>45264</v>
      </c>
      <c r="B4889">
        <v>41605.910000000003</v>
      </c>
      <c r="C4889" t="s">
        <v>5097</v>
      </c>
    </row>
    <row r="4890" spans="1:3" x14ac:dyDescent="0.3">
      <c r="A4890" s="426">
        <v>45265</v>
      </c>
      <c r="B4890">
        <v>41850.31</v>
      </c>
      <c r="C4890" t="s">
        <v>5098</v>
      </c>
    </row>
    <row r="4891" spans="1:3" x14ac:dyDescent="0.3">
      <c r="A4891" s="426">
        <v>45266</v>
      </c>
      <c r="B4891">
        <v>43861.51</v>
      </c>
      <c r="C4891" t="s">
        <v>5099</v>
      </c>
    </row>
    <row r="4892" spans="1:3" x14ac:dyDescent="0.3">
      <c r="A4892" s="426">
        <v>45267</v>
      </c>
      <c r="B4892">
        <v>43525.599999999999</v>
      </c>
      <c r="C4892" t="s">
        <v>5100</v>
      </c>
    </row>
    <row r="4893" spans="1:3" x14ac:dyDescent="0.3">
      <c r="A4893" s="426">
        <v>45268</v>
      </c>
      <c r="B4893">
        <v>43663.73</v>
      </c>
      <c r="C4893" t="s">
        <v>5101</v>
      </c>
    </row>
    <row r="4894" spans="1:3" x14ac:dyDescent="0.3">
      <c r="A4894" s="426">
        <v>45269</v>
      </c>
      <c r="B4894">
        <v>43996.29</v>
      </c>
      <c r="C4894" t="s">
        <v>5102</v>
      </c>
    </row>
    <row r="4895" spans="1:3" x14ac:dyDescent="0.3">
      <c r="A4895" s="426">
        <v>45270</v>
      </c>
      <c r="B4895">
        <v>43819.32</v>
      </c>
      <c r="C4895" t="s">
        <v>5103</v>
      </c>
    </row>
    <row r="4896" spans="1:3" x14ac:dyDescent="0.3">
      <c r="A4896" s="426">
        <v>45271</v>
      </c>
      <c r="B4896">
        <v>42068.85</v>
      </c>
      <c r="C4896" t="s">
        <v>5104</v>
      </c>
    </row>
    <row r="4897" spans="1:3" x14ac:dyDescent="0.3">
      <c r="A4897" s="426">
        <v>45272</v>
      </c>
      <c r="B4897">
        <v>41628.949999999997</v>
      </c>
      <c r="C4897" t="s">
        <v>5105</v>
      </c>
    </row>
    <row r="4898" spans="1:3" x14ac:dyDescent="0.3">
      <c r="A4898" s="426">
        <v>45273</v>
      </c>
      <c r="B4898">
        <v>41334.17</v>
      </c>
      <c r="C4898" t="s">
        <v>5106</v>
      </c>
    </row>
    <row r="4899" spans="1:3" x14ac:dyDescent="0.3">
      <c r="A4899" s="426">
        <v>45274</v>
      </c>
      <c r="B4899">
        <v>42881.79</v>
      </c>
      <c r="C4899" t="s">
        <v>5107</v>
      </c>
    </row>
    <row r="4900" spans="1:3" x14ac:dyDescent="0.3">
      <c r="A4900" s="426">
        <v>45275</v>
      </c>
      <c r="B4900">
        <v>42622.080000000002</v>
      </c>
      <c r="C4900" t="s">
        <v>5108</v>
      </c>
    </row>
    <row r="4901" spans="1:3" x14ac:dyDescent="0.3">
      <c r="A4901" s="426">
        <v>45276</v>
      </c>
      <c r="B4901">
        <v>42274.13</v>
      </c>
      <c r="C4901" t="s">
        <v>5109</v>
      </c>
    </row>
    <row r="4902" spans="1:3" x14ac:dyDescent="0.3">
      <c r="A4902" s="426">
        <v>45277</v>
      </c>
      <c r="B4902">
        <v>41910.78</v>
      </c>
      <c r="C4902" t="s">
        <v>5110</v>
      </c>
    </row>
    <row r="4903" spans="1:3" x14ac:dyDescent="0.3">
      <c r="A4903" s="426">
        <v>45278</v>
      </c>
      <c r="B4903">
        <v>41226.28</v>
      </c>
      <c r="C4903" t="s">
        <v>5111</v>
      </c>
    </row>
    <row r="4904" spans="1:3" x14ac:dyDescent="0.3">
      <c r="A4904" s="426">
        <v>45279</v>
      </c>
      <c r="B4904">
        <v>42884.63</v>
      </c>
      <c r="C4904" t="s">
        <v>5112</v>
      </c>
    </row>
    <row r="4905" spans="1:3" x14ac:dyDescent="0.3">
      <c r="A4905" s="426">
        <v>45280</v>
      </c>
      <c r="B4905">
        <v>42924.28</v>
      </c>
      <c r="C4905" t="s">
        <v>5113</v>
      </c>
    </row>
    <row r="4906" spans="1:3" x14ac:dyDescent="0.3">
      <c r="A4906" s="426">
        <v>45281</v>
      </c>
      <c r="B4906">
        <v>43727.1</v>
      </c>
      <c r="C4906" t="s">
        <v>5114</v>
      </c>
    </row>
    <row r="4907" spans="1:3" x14ac:dyDescent="0.3">
      <c r="A4907" s="426">
        <v>45282</v>
      </c>
      <c r="B4907">
        <v>43754.559999999998</v>
      </c>
      <c r="C4907" t="s">
        <v>5115</v>
      </c>
    </row>
    <row r="4908" spans="1:3" x14ac:dyDescent="0.3">
      <c r="A4908" s="426">
        <v>45283</v>
      </c>
      <c r="B4908">
        <v>43719.88</v>
      </c>
      <c r="C4908" t="s">
        <v>5116</v>
      </c>
    </row>
    <row r="4909" spans="1:3" x14ac:dyDescent="0.3">
      <c r="A4909" s="426">
        <v>45284</v>
      </c>
      <c r="B4909">
        <v>43672.39</v>
      </c>
      <c r="C4909" t="s">
        <v>5117</v>
      </c>
    </row>
    <row r="4910" spans="1:3" x14ac:dyDescent="0.3">
      <c r="A4910" s="426">
        <v>45285</v>
      </c>
      <c r="B4910">
        <v>43324.73</v>
      </c>
      <c r="C4910" t="s">
        <v>5118</v>
      </c>
    </row>
    <row r="4911" spans="1:3" x14ac:dyDescent="0.3">
      <c r="A4911" s="426">
        <v>45286</v>
      </c>
      <c r="B4911">
        <v>42680.800000000003</v>
      </c>
      <c r="C4911" t="s">
        <v>5119</v>
      </c>
    </row>
    <row r="4912" spans="1:3" x14ac:dyDescent="0.3">
      <c r="A4912" s="426">
        <v>45287</v>
      </c>
      <c r="B4912">
        <v>42930.25</v>
      </c>
      <c r="C4912" t="s">
        <v>5120</v>
      </c>
    </row>
    <row r="4913" spans="1:3" x14ac:dyDescent="0.3">
      <c r="A4913" s="426">
        <v>45288</v>
      </c>
      <c r="B4913">
        <v>42959.51</v>
      </c>
      <c r="C4913" t="s">
        <v>5121</v>
      </c>
    </row>
    <row r="4914" spans="1:3" x14ac:dyDescent="0.3">
      <c r="A4914" s="426">
        <v>45289</v>
      </c>
      <c r="B4914">
        <v>42519.74</v>
      </c>
      <c r="C4914" t="s">
        <v>5122</v>
      </c>
    </row>
    <row r="4915" spans="1:3" x14ac:dyDescent="0.3">
      <c r="A4915" s="426">
        <v>45290</v>
      </c>
      <c r="B4915">
        <v>42132.54</v>
      </c>
      <c r="C4915" t="s">
        <v>5123</v>
      </c>
    </row>
    <row r="4916" spans="1:3" x14ac:dyDescent="0.3">
      <c r="A4916" s="426">
        <v>45291</v>
      </c>
      <c r="B4916">
        <v>42485.2</v>
      </c>
      <c r="C4916" t="s">
        <v>5124</v>
      </c>
    </row>
    <row r="4917" spans="1:3" x14ac:dyDescent="0.3">
      <c r="A4917" s="426">
        <v>45292</v>
      </c>
      <c r="B4917">
        <v>42685.45</v>
      </c>
      <c r="C4917" t="s">
        <v>5125</v>
      </c>
    </row>
    <row r="4918" spans="1:3" x14ac:dyDescent="0.3">
      <c r="A4918" s="426">
        <v>45293</v>
      </c>
      <c r="B4918">
        <v>45242.49</v>
      </c>
      <c r="C4918" t="s">
        <v>5126</v>
      </c>
    </row>
    <row r="4919" spans="1:3" x14ac:dyDescent="0.3">
      <c r="A4919" s="426">
        <v>45294</v>
      </c>
      <c r="B4919">
        <v>43771.74</v>
      </c>
      <c r="C4919" t="s">
        <v>5127</v>
      </c>
    </row>
    <row r="4920" spans="1:3" x14ac:dyDescent="0.3">
      <c r="A4920" s="426">
        <v>45295</v>
      </c>
      <c r="B4920">
        <v>43220.41</v>
      </c>
      <c r="C4920" t="s">
        <v>5128</v>
      </c>
    </row>
    <row r="4921" spans="1:3" x14ac:dyDescent="0.3">
      <c r="A4921" s="426">
        <v>45296</v>
      </c>
      <c r="B4921">
        <v>43792.54</v>
      </c>
      <c r="C4921" t="s">
        <v>5129</v>
      </c>
    </row>
    <row r="4922" spans="1:3" x14ac:dyDescent="0.3">
      <c r="A4922" s="426">
        <v>45297</v>
      </c>
      <c r="B4922">
        <v>43883.27</v>
      </c>
      <c r="C4922" t="s">
        <v>5130</v>
      </c>
    </row>
    <row r="4923" spans="1:3" x14ac:dyDescent="0.3">
      <c r="A4923" s="426">
        <v>45298</v>
      </c>
      <c r="B4923">
        <v>44073.57</v>
      </c>
      <c r="C4923" t="s">
        <v>5131</v>
      </c>
    </row>
    <row r="4924" spans="1:3" x14ac:dyDescent="0.3">
      <c r="A4924" s="426">
        <v>45299</v>
      </c>
      <c r="B4924">
        <v>44804.81</v>
      </c>
      <c r="C4924" t="s">
        <v>5132</v>
      </c>
    </row>
    <row r="4925" spans="1:3" x14ac:dyDescent="0.3">
      <c r="A4925" s="426">
        <v>45300</v>
      </c>
      <c r="B4925">
        <v>46724.639999999999</v>
      </c>
      <c r="C4925" t="s">
        <v>5133</v>
      </c>
    </row>
    <row r="4926" spans="1:3" x14ac:dyDescent="0.3">
      <c r="A4926" s="426">
        <v>45301</v>
      </c>
      <c r="B4926">
        <v>45908.07</v>
      </c>
      <c r="C4926" t="s">
        <v>5134</v>
      </c>
    </row>
    <row r="4927" spans="1:3" x14ac:dyDescent="0.3">
      <c r="A4927" s="426">
        <v>45302</v>
      </c>
      <c r="B4927">
        <v>46464.54</v>
      </c>
      <c r="C4927" t="s">
        <v>5135</v>
      </c>
    </row>
    <row r="4928" spans="1:3" x14ac:dyDescent="0.3">
      <c r="A4928" s="426">
        <v>45303</v>
      </c>
      <c r="B4928">
        <v>45872.71</v>
      </c>
      <c r="C4928" t="s">
        <v>5136</v>
      </c>
    </row>
    <row r="4929" spans="1:3" x14ac:dyDescent="0.3">
      <c r="A4929" s="426">
        <v>45304</v>
      </c>
      <c r="B4929">
        <v>42842.38</v>
      </c>
      <c r="C4929" t="s">
        <v>5137</v>
      </c>
    </row>
    <row r="4930" spans="1:3" x14ac:dyDescent="0.3">
      <c r="A4930" s="426">
        <v>45305</v>
      </c>
      <c r="B4930">
        <v>42797.34</v>
      </c>
      <c r="C4930" t="s">
        <v>5138</v>
      </c>
    </row>
    <row r="4931" spans="1:3" x14ac:dyDescent="0.3">
      <c r="A4931" s="426">
        <v>45306</v>
      </c>
      <c r="B4931">
        <v>42623.8</v>
      </c>
      <c r="C4931" t="s">
        <v>5139</v>
      </c>
    </row>
    <row r="4932" spans="1:3" x14ac:dyDescent="0.3">
      <c r="A4932" s="426">
        <v>45307</v>
      </c>
      <c r="B4932">
        <v>42912.89</v>
      </c>
      <c r="C4932" t="s">
        <v>5140</v>
      </c>
    </row>
    <row r="4933" spans="1:3" x14ac:dyDescent="0.3">
      <c r="A4933" s="426">
        <v>45308</v>
      </c>
      <c r="B4933">
        <v>42702.96</v>
      </c>
      <c r="C4933" t="s">
        <v>5141</v>
      </c>
    </row>
    <row r="4934" spans="1:3" x14ac:dyDescent="0.3">
      <c r="A4934" s="426">
        <v>45309</v>
      </c>
      <c r="B4934">
        <v>42544.04</v>
      </c>
      <c r="C4934" t="s">
        <v>5142</v>
      </c>
    </row>
    <row r="4935" spans="1:3" x14ac:dyDescent="0.3">
      <c r="A4935" s="426">
        <v>45310</v>
      </c>
      <c r="B4935">
        <v>41271.08</v>
      </c>
      <c r="C4935" t="s">
        <v>5143</v>
      </c>
    </row>
    <row r="4936" spans="1:3" x14ac:dyDescent="0.3">
      <c r="A4936" s="426">
        <v>45311</v>
      </c>
      <c r="B4936">
        <v>41600.879999999997</v>
      </c>
      <c r="C4936" t="s">
        <v>5144</v>
      </c>
    </row>
    <row r="4937" spans="1:3" x14ac:dyDescent="0.3">
      <c r="A4937" s="426">
        <v>45312</v>
      </c>
      <c r="B4937">
        <v>41667.760000000002</v>
      </c>
      <c r="C4937" t="s">
        <v>5145</v>
      </c>
    </row>
    <row r="4938" spans="1:3" x14ac:dyDescent="0.3">
      <c r="A4938" s="426">
        <v>45313</v>
      </c>
      <c r="B4938">
        <v>40765.050000000003</v>
      </c>
      <c r="C4938" t="s">
        <v>5146</v>
      </c>
    </row>
    <row r="4939" spans="1:3" x14ac:dyDescent="0.3">
      <c r="A4939" s="426">
        <v>45314</v>
      </c>
      <c r="B4939">
        <v>39361.33</v>
      </c>
      <c r="C4939" t="s">
        <v>5147</v>
      </c>
    </row>
    <row r="4940" spans="1:3" x14ac:dyDescent="0.3">
      <c r="A4940" s="426">
        <v>45315</v>
      </c>
      <c r="B4940">
        <v>39909.22</v>
      </c>
      <c r="C4940" t="s">
        <v>5148</v>
      </c>
    </row>
    <row r="4941" spans="1:3" x14ac:dyDescent="0.3">
      <c r="A4941" s="426">
        <v>45316</v>
      </c>
      <c r="B4941">
        <v>39950.949999999997</v>
      </c>
      <c r="C4941" t="s">
        <v>5149</v>
      </c>
    </row>
    <row r="4942" spans="1:3" x14ac:dyDescent="0.3">
      <c r="A4942" s="426">
        <v>45317</v>
      </c>
      <c r="B4942">
        <v>41129.71</v>
      </c>
      <c r="C4942" t="s">
        <v>5150</v>
      </c>
    </row>
    <row r="4943" spans="1:3" x14ac:dyDescent="0.3">
      <c r="A4943" s="426">
        <v>45318</v>
      </c>
      <c r="B4943">
        <v>41805.120000000003</v>
      </c>
      <c r="C4943" t="s">
        <v>5151</v>
      </c>
    </row>
    <row r="4944" spans="1:3" x14ac:dyDescent="0.3">
      <c r="A4944" s="426">
        <v>45319</v>
      </c>
      <c r="B4944">
        <v>42297.43</v>
      </c>
      <c r="C4944" t="s">
        <v>5152</v>
      </c>
    </row>
    <row r="4945" spans="1:3" x14ac:dyDescent="0.3">
      <c r="A4945" s="426">
        <v>45320</v>
      </c>
      <c r="B4945">
        <v>42248.17</v>
      </c>
      <c r="C4945" t="s">
        <v>5153</v>
      </c>
    </row>
    <row r="4946" spans="1:3" x14ac:dyDescent="0.3">
      <c r="A4946" s="426">
        <v>45321</v>
      </c>
      <c r="B4946">
        <v>43413.54</v>
      </c>
      <c r="C4946" t="s">
        <v>5154</v>
      </c>
    </row>
    <row r="4947" spans="1:3" x14ac:dyDescent="0.3">
      <c r="A4947" s="426">
        <v>45322</v>
      </c>
      <c r="B4947">
        <v>42917.45</v>
      </c>
      <c r="C4947" t="s">
        <v>5155</v>
      </c>
    </row>
    <row r="4948" spans="1:3" x14ac:dyDescent="0.3">
      <c r="A4948" s="426">
        <v>45323</v>
      </c>
      <c r="B4948">
        <v>42203.86</v>
      </c>
      <c r="C4948" t="s">
        <v>5156</v>
      </c>
    </row>
    <row r="4949" spans="1:3" x14ac:dyDescent="0.3">
      <c r="A4949" s="426">
        <v>45324</v>
      </c>
      <c r="B4949">
        <v>43060.32</v>
      </c>
      <c r="C4949" t="s">
        <v>5157</v>
      </c>
    </row>
    <row r="4950" spans="1:3" x14ac:dyDescent="0.3">
      <c r="A4950" s="426">
        <v>45325</v>
      </c>
      <c r="B4950">
        <v>43073.5</v>
      </c>
      <c r="C4950" t="s">
        <v>5158</v>
      </c>
    </row>
    <row r="4951" spans="1:3" x14ac:dyDescent="0.3">
      <c r="A4951" s="426">
        <v>45326</v>
      </c>
      <c r="B4951">
        <v>42898.400000000001</v>
      </c>
      <c r="C4951" t="s">
        <v>5159</v>
      </c>
    </row>
    <row r="4952" spans="1:3" x14ac:dyDescent="0.3">
      <c r="A4952" s="426">
        <v>45327</v>
      </c>
      <c r="B4952">
        <v>42712.19</v>
      </c>
      <c r="C4952" t="s">
        <v>5160</v>
      </c>
    </row>
    <row r="4953" spans="1:3" x14ac:dyDescent="0.3">
      <c r="A4953" s="426">
        <v>45328</v>
      </c>
      <c r="B4953">
        <v>42879.83</v>
      </c>
      <c r="C4953" t="s">
        <v>5161</v>
      </c>
    </row>
    <row r="4954" spans="1:3" x14ac:dyDescent="0.3">
      <c r="A4954" s="426">
        <v>45329</v>
      </c>
      <c r="B4954">
        <v>43077.46</v>
      </c>
      <c r="C4954" t="s">
        <v>5162</v>
      </c>
    </row>
    <row r="4955" spans="1:3" x14ac:dyDescent="0.3">
      <c r="A4955" s="426">
        <v>45330</v>
      </c>
      <c r="B4955">
        <v>44740.74</v>
      </c>
      <c r="C4955" t="s">
        <v>5163</v>
      </c>
    </row>
    <row r="4956" spans="1:3" x14ac:dyDescent="0.3">
      <c r="A4956" s="426">
        <v>45331</v>
      </c>
      <c r="B4956">
        <v>47074.97</v>
      </c>
      <c r="C4956" t="s">
        <v>5164</v>
      </c>
    </row>
    <row r="4957" spans="1:3" x14ac:dyDescent="0.3">
      <c r="A4957" s="426">
        <v>45332</v>
      </c>
      <c r="B4957">
        <v>47341.52</v>
      </c>
      <c r="C4957" t="s">
        <v>5165</v>
      </c>
    </row>
    <row r="4958" spans="1:3" x14ac:dyDescent="0.3">
      <c r="A4958" s="426">
        <v>45333</v>
      </c>
      <c r="B4958">
        <v>48175.38</v>
      </c>
      <c r="C4958" t="s">
        <v>5166</v>
      </c>
    </row>
    <row r="4959" spans="1:3" x14ac:dyDescent="0.3">
      <c r="A4959" s="426">
        <v>45334</v>
      </c>
      <c r="B4959">
        <v>48373.82</v>
      </c>
      <c r="C4959" t="s">
        <v>5167</v>
      </c>
    </row>
    <row r="4960" spans="1:3" x14ac:dyDescent="0.3">
      <c r="A4960" s="426">
        <v>45335</v>
      </c>
      <c r="B4960">
        <v>49876.75</v>
      </c>
      <c r="C4960" t="s">
        <v>5168</v>
      </c>
    </row>
    <row r="4961" spans="1:3" x14ac:dyDescent="0.3">
      <c r="A4961" s="426">
        <v>45336</v>
      </c>
      <c r="B4961">
        <v>51470.98</v>
      </c>
      <c r="C4961" t="s">
        <v>5169</v>
      </c>
    </row>
    <row r="4962" spans="1:3" x14ac:dyDescent="0.3">
      <c r="A4962" s="426">
        <v>45337</v>
      </c>
      <c r="B4962">
        <v>52122.54</v>
      </c>
      <c r="C4962" t="s">
        <v>5170</v>
      </c>
    </row>
    <row r="4963" spans="1:3" x14ac:dyDescent="0.3">
      <c r="A4963" s="426">
        <v>45338</v>
      </c>
      <c r="B4963">
        <v>52017.120000000003</v>
      </c>
      <c r="C4963" t="s">
        <v>5171</v>
      </c>
    </row>
    <row r="4964" spans="1:3" x14ac:dyDescent="0.3">
      <c r="A4964" s="426">
        <v>45339</v>
      </c>
      <c r="B4964">
        <v>51714.71</v>
      </c>
      <c r="C4964" t="s">
        <v>5172</v>
      </c>
    </row>
    <row r="4965" spans="1:3" x14ac:dyDescent="0.3">
      <c r="A4965" s="426">
        <v>45340</v>
      </c>
      <c r="B4965">
        <v>51767.3</v>
      </c>
      <c r="C4965" t="s">
        <v>5173</v>
      </c>
    </row>
    <row r="4966" spans="1:3" x14ac:dyDescent="0.3">
      <c r="A4966" s="426">
        <v>45341</v>
      </c>
      <c r="B4966">
        <v>52116.31</v>
      </c>
      <c r="C4966" t="s">
        <v>5174</v>
      </c>
    </row>
    <row r="4967" spans="1:3" x14ac:dyDescent="0.3">
      <c r="A4967" s="426">
        <v>45342</v>
      </c>
      <c r="B4967">
        <v>51898</v>
      </c>
      <c r="C4967" t="s">
        <v>5175</v>
      </c>
    </row>
    <row r="4968" spans="1:3" x14ac:dyDescent="0.3">
      <c r="A4968" s="426">
        <v>45343</v>
      </c>
      <c r="B4968">
        <v>51364.97</v>
      </c>
      <c r="C4968" t="s">
        <v>5176</v>
      </c>
    </row>
    <row r="4969" spans="1:3" x14ac:dyDescent="0.3">
      <c r="A4969" s="426">
        <v>45344</v>
      </c>
      <c r="B4969">
        <v>51582.82</v>
      </c>
      <c r="C4969" t="s">
        <v>5177</v>
      </c>
    </row>
    <row r="4970" spans="1:3" x14ac:dyDescent="0.3">
      <c r="A4970" s="426">
        <v>45345</v>
      </c>
      <c r="B4970">
        <v>51068.05</v>
      </c>
      <c r="C4970" t="s">
        <v>5178</v>
      </c>
    </row>
    <row r="4971" spans="1:3" x14ac:dyDescent="0.3">
      <c r="A4971" s="426">
        <v>45346</v>
      </c>
      <c r="B4971">
        <v>51105.08</v>
      </c>
      <c r="C4971" t="s">
        <v>5179</v>
      </c>
    </row>
    <row r="4972" spans="1:3" x14ac:dyDescent="0.3">
      <c r="A4972" s="426">
        <v>45347</v>
      </c>
      <c r="B4972">
        <v>51642.6</v>
      </c>
      <c r="C4972" t="s">
        <v>5180</v>
      </c>
    </row>
    <row r="4973" spans="1:3" x14ac:dyDescent="0.3">
      <c r="A4973" s="426">
        <v>45348</v>
      </c>
      <c r="B4973">
        <v>51530.04</v>
      </c>
      <c r="C4973" t="s">
        <v>5181</v>
      </c>
    </row>
    <row r="4974" spans="1:3" x14ac:dyDescent="0.3">
      <c r="A4974" s="426">
        <v>45349</v>
      </c>
      <c r="B4974">
        <v>56687.07</v>
      </c>
      <c r="C4974" t="s">
        <v>5182</v>
      </c>
    </row>
    <row r="4975" spans="1:3" x14ac:dyDescent="0.3">
      <c r="A4975" s="426">
        <v>45350</v>
      </c>
      <c r="B4975">
        <v>59352.57</v>
      </c>
      <c r="C4975" t="s">
        <v>5183</v>
      </c>
    </row>
    <row r="4976" spans="1:3" x14ac:dyDescent="0.3">
      <c r="A4976" s="426">
        <v>45351</v>
      </c>
      <c r="B4976">
        <v>62225.62</v>
      </c>
      <c r="C4976" t="s">
        <v>5184</v>
      </c>
    </row>
    <row r="4977" spans="1:3" x14ac:dyDescent="0.3">
      <c r="A4977" s="426">
        <v>45352</v>
      </c>
      <c r="B4977">
        <v>61932.9</v>
      </c>
      <c r="C4977" t="s">
        <v>5185</v>
      </c>
    </row>
    <row r="4978" spans="1:3" x14ac:dyDescent="0.3">
      <c r="A4978" s="426">
        <v>45353</v>
      </c>
      <c r="B4978">
        <v>61988.7</v>
      </c>
      <c r="C4978" t="s">
        <v>5186</v>
      </c>
    </row>
    <row r="4979" spans="1:3" x14ac:dyDescent="0.3">
      <c r="A4979" s="426">
        <v>45354</v>
      </c>
      <c r="B4979">
        <v>62138.61</v>
      </c>
      <c r="C4979" t="s">
        <v>5187</v>
      </c>
    </row>
    <row r="4980" spans="1:3" x14ac:dyDescent="0.3">
      <c r="A4980" s="426">
        <v>45355</v>
      </c>
      <c r="B4980">
        <v>65189.59</v>
      </c>
      <c r="C4980" t="s">
        <v>5188</v>
      </c>
    </row>
    <row r="4981" spans="1:3" x14ac:dyDescent="0.3">
      <c r="A4981" s="426">
        <v>45356</v>
      </c>
      <c r="B4981">
        <v>66919.600000000006</v>
      </c>
      <c r="C4981" t="s">
        <v>5189</v>
      </c>
    </row>
    <row r="4982" spans="1:3" x14ac:dyDescent="0.3">
      <c r="A4982" s="426">
        <v>45357</v>
      </c>
      <c r="B4982">
        <v>66438.320000000007</v>
      </c>
      <c r="C4982" t="s">
        <v>5190</v>
      </c>
    </row>
    <row r="4983" spans="1:3" x14ac:dyDescent="0.3">
      <c r="A4983" s="426">
        <v>45358</v>
      </c>
      <c r="B4983">
        <v>66897.94</v>
      </c>
      <c r="C4983" t="s">
        <v>5191</v>
      </c>
    </row>
    <row r="4984" spans="1:3" x14ac:dyDescent="0.3">
      <c r="A4984" s="426">
        <v>45359</v>
      </c>
      <c r="B4984">
        <v>67530.53</v>
      </c>
      <c r="C4984" t="s">
        <v>5192</v>
      </c>
    </row>
    <row r="4985" spans="1:3" x14ac:dyDescent="0.3">
      <c r="A4985" s="426">
        <v>45360</v>
      </c>
      <c r="B4985">
        <v>68420.62</v>
      </c>
      <c r="C4985" t="s">
        <v>5193</v>
      </c>
    </row>
    <row r="4986" spans="1:3" x14ac:dyDescent="0.3">
      <c r="A4986" s="426">
        <v>45361</v>
      </c>
      <c r="B4986">
        <v>69467.25</v>
      </c>
      <c r="C4986" t="s">
        <v>5194</v>
      </c>
    </row>
    <row r="4987" spans="1:3" x14ac:dyDescent="0.3">
      <c r="A4987" s="426">
        <v>45362</v>
      </c>
      <c r="B4987">
        <v>71778.710000000006</v>
      </c>
      <c r="C4987" t="s">
        <v>5195</v>
      </c>
    </row>
    <row r="4988" spans="1:3" x14ac:dyDescent="0.3">
      <c r="A4988" s="426">
        <v>45363</v>
      </c>
      <c r="B4988">
        <v>71747.399999999994</v>
      </c>
      <c r="C4988" t="s">
        <v>5196</v>
      </c>
    </row>
    <row r="4989" spans="1:3" x14ac:dyDescent="0.3">
      <c r="A4989" s="426">
        <v>45364</v>
      </c>
      <c r="B4989">
        <v>72912.850000000006</v>
      </c>
      <c r="C4989" t="s">
        <v>5197</v>
      </c>
    </row>
    <row r="4990" spans="1:3" x14ac:dyDescent="0.3">
      <c r="A4990" s="426">
        <v>45365</v>
      </c>
      <c r="B4990">
        <v>72845.8</v>
      </c>
      <c r="C4990" t="s">
        <v>5198</v>
      </c>
    </row>
    <row r="4991" spans="1:3" x14ac:dyDescent="0.3">
      <c r="A4991" s="426">
        <v>45366</v>
      </c>
      <c r="B4991">
        <v>68186.7</v>
      </c>
      <c r="C4991" t="s">
        <v>5199</v>
      </c>
    </row>
    <row r="4992" spans="1:3" x14ac:dyDescent="0.3">
      <c r="A4992" s="426">
        <v>45367</v>
      </c>
      <c r="B4992">
        <v>68336.509999999995</v>
      </c>
      <c r="C4992" t="s">
        <v>5200</v>
      </c>
    </row>
    <row r="4993" spans="1:3" x14ac:dyDescent="0.3">
      <c r="A4993" s="426">
        <v>45368</v>
      </c>
      <c r="B4993">
        <v>66970.820000000007</v>
      </c>
      <c r="C4993" t="s">
        <v>5201</v>
      </c>
    </row>
    <row r="4994" spans="1:3" x14ac:dyDescent="0.3">
      <c r="A4994" s="426">
        <v>45369</v>
      </c>
      <c r="B4994">
        <v>67803.199999999997</v>
      </c>
      <c r="C4994" t="s">
        <v>5202</v>
      </c>
    </row>
    <row r="4995" spans="1:3" x14ac:dyDescent="0.3">
      <c r="A4995" s="426">
        <v>45370</v>
      </c>
      <c r="B4995">
        <v>64263.93</v>
      </c>
      <c r="C4995" t="s">
        <v>5203</v>
      </c>
    </row>
    <row r="4996" spans="1:3" x14ac:dyDescent="0.3">
      <c r="A4996" s="426">
        <v>45371</v>
      </c>
      <c r="B4996">
        <v>63345.98</v>
      </c>
      <c r="C4996" t="s">
        <v>5204</v>
      </c>
    </row>
    <row r="4997" spans="1:3" x14ac:dyDescent="0.3">
      <c r="A4997" s="426">
        <v>45372</v>
      </c>
      <c r="B4997">
        <v>66892.960000000006</v>
      </c>
      <c r="C4997" t="s">
        <v>5205</v>
      </c>
    </row>
    <row r="4998" spans="1:3" x14ac:dyDescent="0.3">
      <c r="A4998" s="426">
        <v>45373</v>
      </c>
      <c r="B4998">
        <v>64357.78</v>
      </c>
      <c r="C4998" t="s">
        <v>5206</v>
      </c>
    </row>
    <row r="4999" spans="1:3" x14ac:dyDescent="0.3">
      <c r="A4999" s="426">
        <v>45374</v>
      </c>
      <c r="B4999">
        <v>64575.66</v>
      </c>
      <c r="C4999" t="s">
        <v>5207</v>
      </c>
    </row>
    <row r="5000" spans="1:3" x14ac:dyDescent="0.3">
      <c r="A5000" s="426">
        <v>45375</v>
      </c>
      <c r="B5000">
        <v>65290.8</v>
      </c>
      <c r="C5000" t="s">
        <v>5208</v>
      </c>
    </row>
    <row r="5001" spans="1:3" x14ac:dyDescent="0.3">
      <c r="A5001" s="426">
        <v>45376</v>
      </c>
      <c r="B5001">
        <v>67431.210000000006</v>
      </c>
      <c r="C5001" t="s">
        <v>5209</v>
      </c>
    </row>
    <row r="5002" spans="1:3" x14ac:dyDescent="0.3">
      <c r="A5002" s="426">
        <v>45377</v>
      </c>
      <c r="B5002">
        <v>70292.63</v>
      </c>
      <c r="C5002" t="s">
        <v>5210</v>
      </c>
    </row>
    <row r="5003" spans="1:3" x14ac:dyDescent="0.3">
      <c r="A5003" s="426">
        <v>45378</v>
      </c>
      <c r="B5003">
        <v>69985.210000000006</v>
      </c>
      <c r="C5003" t="s">
        <v>5211</v>
      </c>
    </row>
    <row r="5004" spans="1:3" x14ac:dyDescent="0.3">
      <c r="A5004" s="426">
        <v>45379</v>
      </c>
      <c r="B5004">
        <v>70638.8</v>
      </c>
      <c r="C5004" t="s">
        <v>5212</v>
      </c>
    </row>
    <row r="5005" spans="1:3" x14ac:dyDescent="0.3">
      <c r="A5005" s="426">
        <v>45380</v>
      </c>
      <c r="B5005">
        <v>70095.38</v>
      </c>
      <c r="C5005" t="s">
        <v>5213</v>
      </c>
    </row>
    <row r="5006" spans="1:3" x14ac:dyDescent="0.3">
      <c r="A5006" s="426">
        <v>45381</v>
      </c>
      <c r="B5006">
        <v>70027.12</v>
      </c>
      <c r="C5006" t="s">
        <v>5214</v>
      </c>
    </row>
    <row r="5007" spans="1:3" x14ac:dyDescent="0.3">
      <c r="A5007" s="426">
        <v>45382</v>
      </c>
      <c r="B5007">
        <v>70400.53</v>
      </c>
      <c r="C5007" t="s">
        <v>5215</v>
      </c>
    </row>
    <row r="5008" spans="1:3" x14ac:dyDescent="0.3">
      <c r="A5008" s="426">
        <v>45383</v>
      </c>
      <c r="B5008">
        <v>69653.16</v>
      </c>
      <c r="C5008" t="s">
        <v>5216</v>
      </c>
    </row>
    <row r="5009" spans="1:3" x14ac:dyDescent="0.3">
      <c r="A5009" s="426">
        <v>45384</v>
      </c>
      <c r="B5009">
        <v>65964.7</v>
      </c>
      <c r="C5009" t="s">
        <v>5217</v>
      </c>
    </row>
    <row r="5010" spans="1:3" x14ac:dyDescent="0.3">
      <c r="A5010" s="426">
        <v>45385</v>
      </c>
      <c r="B5010">
        <v>66078.92</v>
      </c>
      <c r="C5010" t="s">
        <v>5218</v>
      </c>
    </row>
    <row r="5011" spans="1:3" x14ac:dyDescent="0.3">
      <c r="A5011" s="426">
        <v>45386</v>
      </c>
      <c r="B5011">
        <v>66563.97</v>
      </c>
      <c r="C5011" t="s">
        <v>5219</v>
      </c>
    </row>
    <row r="5012" spans="1:3" x14ac:dyDescent="0.3">
      <c r="A5012" s="426">
        <v>45387</v>
      </c>
      <c r="B5012">
        <v>67605.06</v>
      </c>
      <c r="C5012" t="s">
        <v>5220</v>
      </c>
    </row>
    <row r="5013" spans="1:3" x14ac:dyDescent="0.3">
      <c r="A5013" s="426">
        <v>45388</v>
      </c>
      <c r="B5013">
        <v>68005.52</v>
      </c>
      <c r="C5013" t="s">
        <v>5221</v>
      </c>
    </row>
    <row r="5014" spans="1:3" x14ac:dyDescent="0.3">
      <c r="A5014" s="426">
        <v>45389</v>
      </c>
      <c r="B5014">
        <v>69387.210000000006</v>
      </c>
      <c r="C5014" t="s">
        <v>5222</v>
      </c>
    </row>
    <row r="5015" spans="1:3" x14ac:dyDescent="0.3">
      <c r="A5015" s="426">
        <v>45390</v>
      </c>
      <c r="B5015">
        <v>71684.429999999993</v>
      </c>
      <c r="C5015" t="s">
        <v>5223</v>
      </c>
    </row>
    <row r="5016" spans="1:3" x14ac:dyDescent="0.3">
      <c r="A5016" s="426">
        <v>45391</v>
      </c>
      <c r="B5016">
        <v>70414.77</v>
      </c>
      <c r="C5016" t="s">
        <v>5224</v>
      </c>
    </row>
    <row r="5017" spans="1:3" x14ac:dyDescent="0.3">
      <c r="A5017" s="426">
        <v>45392</v>
      </c>
      <c r="B5017">
        <v>69171.86</v>
      </c>
      <c r="C5017" t="s">
        <v>5225</v>
      </c>
    </row>
    <row r="5018" spans="1:3" x14ac:dyDescent="0.3">
      <c r="A5018" s="426">
        <v>45393</v>
      </c>
      <c r="B5018">
        <v>70542.17</v>
      </c>
      <c r="C5018" t="s">
        <v>5226</v>
      </c>
    </row>
    <row r="5019" spans="1:3" x14ac:dyDescent="0.3">
      <c r="A5019" s="426">
        <v>45394</v>
      </c>
      <c r="B5019">
        <v>70314.31</v>
      </c>
      <c r="C5019" t="s">
        <v>5227</v>
      </c>
    </row>
    <row r="5020" spans="1:3" x14ac:dyDescent="0.3">
      <c r="A5020" s="426">
        <v>45395</v>
      </c>
      <c r="B5020">
        <v>67312.429999999993</v>
      </c>
      <c r="C5020" t="s">
        <v>5228</v>
      </c>
    </row>
    <row r="5021" spans="1:3" x14ac:dyDescent="0.3">
      <c r="A5021" s="426">
        <v>45396</v>
      </c>
      <c r="B5021">
        <v>64264.46</v>
      </c>
      <c r="C5021" t="s">
        <v>5229</v>
      </c>
    </row>
    <row r="5022" spans="1:3" x14ac:dyDescent="0.3">
      <c r="A5022" s="426">
        <v>45397</v>
      </c>
      <c r="B5022">
        <v>65292.47</v>
      </c>
      <c r="C5022" t="s">
        <v>5230</v>
      </c>
    </row>
    <row r="5023" spans="1:3" x14ac:dyDescent="0.3">
      <c r="A5023" s="426">
        <v>45398</v>
      </c>
      <c r="B5023">
        <v>63036.79</v>
      </c>
      <c r="C5023" t="s">
        <v>5231</v>
      </c>
    </row>
    <row r="5024" spans="1:3" x14ac:dyDescent="0.3">
      <c r="A5024" s="426">
        <v>45399</v>
      </c>
      <c r="B5024">
        <v>62714.12</v>
      </c>
      <c r="C5024" t="s">
        <v>5232</v>
      </c>
    </row>
    <row r="5025" spans="1:3" x14ac:dyDescent="0.3">
      <c r="A5025" s="426">
        <v>45400</v>
      </c>
      <c r="B5025">
        <v>62382.8</v>
      </c>
      <c r="C5025" t="s">
        <v>5233</v>
      </c>
    </row>
    <row r="5026" spans="1:3" x14ac:dyDescent="0.3">
      <c r="A5026" s="426">
        <v>45401</v>
      </c>
      <c r="B5026">
        <v>64359.9</v>
      </c>
      <c r="C5026" t="s">
        <v>5234</v>
      </c>
    </row>
    <row r="5027" spans="1:3" x14ac:dyDescent="0.3">
      <c r="A5027" s="426">
        <v>45402</v>
      </c>
      <c r="B5027">
        <v>64030.54</v>
      </c>
      <c r="C5027" t="s">
        <v>5235</v>
      </c>
    </row>
    <row r="5028" spans="1:3" x14ac:dyDescent="0.3">
      <c r="A5028" s="426">
        <v>45403</v>
      </c>
      <c r="B5028">
        <v>64980.38</v>
      </c>
      <c r="C5028" t="s">
        <v>5236</v>
      </c>
    </row>
    <row r="5029" spans="1:3" x14ac:dyDescent="0.3">
      <c r="A5029" s="426">
        <v>45404</v>
      </c>
      <c r="B5029">
        <v>66110.06</v>
      </c>
      <c r="C5029" t="s">
        <v>5237</v>
      </c>
    </row>
    <row r="5030" spans="1:3" x14ac:dyDescent="0.3">
      <c r="A5030" s="426">
        <v>45405</v>
      </c>
      <c r="B5030">
        <v>66421.240000000005</v>
      </c>
      <c r="C5030" t="s">
        <v>5238</v>
      </c>
    </row>
    <row r="5031" spans="1:3" x14ac:dyDescent="0.3">
      <c r="A5031" s="426">
        <v>45406</v>
      </c>
      <c r="B5031">
        <v>66384.36</v>
      </c>
      <c r="C5031" t="s">
        <v>5239</v>
      </c>
    </row>
    <row r="5032" spans="1:3" x14ac:dyDescent="0.3">
      <c r="A5032" s="426">
        <v>45407</v>
      </c>
      <c r="B5032">
        <v>64271.38</v>
      </c>
      <c r="C5032" t="s">
        <v>5240</v>
      </c>
    </row>
    <row r="5033" spans="1:3" x14ac:dyDescent="0.3">
      <c r="A5033" s="426">
        <v>45408</v>
      </c>
      <c r="B5033">
        <v>64206.559999999998</v>
      </c>
      <c r="C5033" t="s">
        <v>5241</v>
      </c>
    </row>
    <row r="5034" spans="1:3" x14ac:dyDescent="0.3">
      <c r="A5034" s="426">
        <v>45409</v>
      </c>
      <c r="B5034">
        <v>63014.080000000002</v>
      </c>
      <c r="C5034" t="s">
        <v>5242</v>
      </c>
    </row>
    <row r="5035" spans="1:3" x14ac:dyDescent="0.3">
      <c r="A5035" s="426">
        <v>45410</v>
      </c>
      <c r="B5035">
        <v>63671.65</v>
      </c>
      <c r="C5035" t="s">
        <v>5243</v>
      </c>
    </row>
    <row r="5036" spans="1:3" x14ac:dyDescent="0.3">
      <c r="A5036" s="426">
        <v>45411</v>
      </c>
      <c r="B5036">
        <v>62780.480000000003</v>
      </c>
      <c r="C5036" t="s">
        <v>5244</v>
      </c>
    </row>
    <row r="5037" spans="1:3" x14ac:dyDescent="0.3">
      <c r="A5037" s="426">
        <v>45412</v>
      </c>
      <c r="B5037">
        <v>61295.88</v>
      </c>
      <c r="C5037" t="s">
        <v>5245</v>
      </c>
    </row>
    <row r="5038" spans="1:3" x14ac:dyDescent="0.3">
      <c r="A5038" s="426">
        <v>45413</v>
      </c>
      <c r="B5038">
        <v>57859.61</v>
      </c>
      <c r="C5038" t="s">
        <v>5246</v>
      </c>
    </row>
    <row r="5039" spans="1:3" x14ac:dyDescent="0.3">
      <c r="A5039" s="426">
        <v>45414</v>
      </c>
      <c r="B5039">
        <v>58557.01</v>
      </c>
      <c r="C5039" t="s">
        <v>5247</v>
      </c>
    </row>
    <row r="5040" spans="1:3" x14ac:dyDescent="0.3">
      <c r="A5040" s="426">
        <v>45415</v>
      </c>
      <c r="B5040">
        <v>59803.74</v>
      </c>
      <c r="C5040" t="s">
        <v>5248</v>
      </c>
    </row>
    <row r="5041" spans="1:3" x14ac:dyDescent="0.3">
      <c r="A5041" s="426">
        <v>45416</v>
      </c>
      <c r="B5041">
        <v>63577.3</v>
      </c>
      <c r="C5041" t="s">
        <v>5249</v>
      </c>
    </row>
    <row r="5042" spans="1:3" x14ac:dyDescent="0.3">
      <c r="A5042" s="426">
        <v>45417</v>
      </c>
      <c r="B5042">
        <v>63763.73</v>
      </c>
      <c r="C5042" t="s">
        <v>5250</v>
      </c>
    </row>
    <row r="5043" spans="1:3" x14ac:dyDescent="0.3">
      <c r="A5043" s="426">
        <v>45418</v>
      </c>
      <c r="B5043">
        <v>63878.79</v>
      </c>
      <c r="C5043" t="s">
        <v>5251</v>
      </c>
    </row>
    <row r="5044" spans="1:3" x14ac:dyDescent="0.3">
      <c r="A5044" s="426">
        <v>45419</v>
      </c>
      <c r="B5044">
        <v>63524.02</v>
      </c>
      <c r="C5044" t="s">
        <v>5252</v>
      </c>
    </row>
    <row r="5045" spans="1:3" x14ac:dyDescent="0.3">
      <c r="A5045" s="426">
        <v>45420</v>
      </c>
      <c r="B5045">
        <v>62324.83</v>
      </c>
      <c r="C5045" t="s">
        <v>5253</v>
      </c>
    </row>
    <row r="5046" spans="1:3" x14ac:dyDescent="0.3">
      <c r="A5046" s="426">
        <v>45421</v>
      </c>
      <c r="B5046">
        <v>61536.58</v>
      </c>
      <c r="C5046" t="s">
        <v>5254</v>
      </c>
    </row>
    <row r="5047" spans="1:3" x14ac:dyDescent="0.3">
      <c r="A5047" s="426">
        <v>45422</v>
      </c>
      <c r="B5047">
        <v>62844.39</v>
      </c>
      <c r="C5047" t="s">
        <v>5255</v>
      </c>
    </row>
    <row r="5048" spans="1:3" x14ac:dyDescent="0.3">
      <c r="A5048" s="426">
        <v>45423</v>
      </c>
      <c r="B5048">
        <v>60895.62</v>
      </c>
      <c r="C5048" t="s">
        <v>5256</v>
      </c>
    </row>
    <row r="5049" spans="1:3" x14ac:dyDescent="0.3">
      <c r="A5049" s="426">
        <v>45424</v>
      </c>
      <c r="B5049">
        <v>61131.06</v>
      </c>
      <c r="C5049" t="s">
        <v>5257</v>
      </c>
    </row>
    <row r="5050" spans="1:3" x14ac:dyDescent="0.3">
      <c r="A5050" s="426">
        <v>45425</v>
      </c>
      <c r="B5050">
        <v>62726.22</v>
      </c>
      <c r="C5050" t="s">
        <v>5258</v>
      </c>
    </row>
    <row r="5051" spans="1:3" x14ac:dyDescent="0.3">
      <c r="A5051" s="426">
        <v>45426</v>
      </c>
      <c r="B5051">
        <v>61785.67</v>
      </c>
      <c r="C5051" t="s">
        <v>5259</v>
      </c>
    </row>
    <row r="5052" spans="1:3" x14ac:dyDescent="0.3">
      <c r="A5052" s="426">
        <v>45427</v>
      </c>
      <c r="B5052">
        <v>62778.34</v>
      </c>
      <c r="C5052" t="s">
        <v>5260</v>
      </c>
    </row>
    <row r="5053" spans="1:3" x14ac:dyDescent="0.3">
      <c r="A5053" s="426">
        <v>45428</v>
      </c>
      <c r="B5053">
        <v>65935.31</v>
      </c>
      <c r="C5053" t="s">
        <v>5261</v>
      </c>
    </row>
    <row r="5054" spans="1:3" x14ac:dyDescent="0.3">
      <c r="A5054" s="426">
        <v>45429</v>
      </c>
      <c r="B5054">
        <v>66382.929999999993</v>
      </c>
      <c r="C5054" t="s">
        <v>5262</v>
      </c>
    </row>
    <row r="5055" spans="1:3" x14ac:dyDescent="0.3">
      <c r="A5055" s="426">
        <v>45430</v>
      </c>
      <c r="B5055">
        <v>66940.14</v>
      </c>
      <c r="C5055" t="s">
        <v>5263</v>
      </c>
    </row>
    <row r="5056" spans="1:3" x14ac:dyDescent="0.3">
      <c r="A5056" s="426">
        <v>45431</v>
      </c>
      <c r="B5056">
        <v>66950.320000000007</v>
      </c>
      <c r="C5056" t="s">
        <v>5264</v>
      </c>
    </row>
    <row r="5057" spans="1:3" x14ac:dyDescent="0.3">
      <c r="A5057" s="426">
        <v>45432</v>
      </c>
      <c r="B5057">
        <v>67104.679999999993</v>
      </c>
      <c r="C5057" t="s">
        <v>5265</v>
      </c>
    </row>
    <row r="5058" spans="1:3" x14ac:dyDescent="0.3">
      <c r="A5058" s="426">
        <v>45433</v>
      </c>
      <c r="B5058">
        <v>70888.44</v>
      </c>
      <c r="C5058" t="s">
        <v>5266</v>
      </c>
    </row>
    <row r="5059" spans="1:3" x14ac:dyDescent="0.3">
      <c r="A5059" s="426">
        <v>45434</v>
      </c>
      <c r="B5059">
        <v>69849.38</v>
      </c>
      <c r="C5059" t="s">
        <v>5267</v>
      </c>
    </row>
    <row r="5060" spans="1:3" x14ac:dyDescent="0.3">
      <c r="A5060" s="426">
        <v>45435</v>
      </c>
      <c r="B5060">
        <v>69380.97</v>
      </c>
      <c r="C5060" t="s">
        <v>5268</v>
      </c>
    </row>
    <row r="5061" spans="1:3" x14ac:dyDescent="0.3">
      <c r="A5061" s="426">
        <v>45436</v>
      </c>
      <c r="B5061">
        <v>67840.73</v>
      </c>
      <c r="C5061" t="s">
        <v>5269</v>
      </c>
    </row>
    <row r="5062" spans="1:3" x14ac:dyDescent="0.3">
      <c r="A5062" s="426">
        <v>45437</v>
      </c>
      <c r="B5062">
        <v>69033.320000000007</v>
      </c>
      <c r="C5062" t="s">
        <v>5270</v>
      </c>
    </row>
    <row r="5063" spans="1:3" x14ac:dyDescent="0.3">
      <c r="A5063" s="426">
        <v>45438</v>
      </c>
      <c r="B5063">
        <v>68998.37</v>
      </c>
      <c r="C5063" t="s">
        <v>5271</v>
      </c>
    </row>
    <row r="5064" spans="1:3" x14ac:dyDescent="0.3">
      <c r="A5064" s="426">
        <v>45439</v>
      </c>
      <c r="B5064">
        <v>68999.710000000006</v>
      </c>
      <c r="C5064" t="s">
        <v>5272</v>
      </c>
    </row>
    <row r="5065" spans="1:3" x14ac:dyDescent="0.3">
      <c r="A5065" s="426">
        <v>45440</v>
      </c>
      <c r="B5065">
        <v>68208.95</v>
      </c>
      <c r="C5065" t="s">
        <v>5273</v>
      </c>
    </row>
    <row r="5066" spans="1:3" x14ac:dyDescent="0.3">
      <c r="A5066" s="426">
        <v>45441</v>
      </c>
      <c r="B5066">
        <v>67782.58</v>
      </c>
      <c r="C5066" t="s">
        <v>5274</v>
      </c>
    </row>
    <row r="5067" spans="1:3" x14ac:dyDescent="0.3">
      <c r="A5067" s="426">
        <v>45442</v>
      </c>
      <c r="B5067">
        <v>68101.41</v>
      </c>
      <c r="C5067" t="s">
        <v>5275</v>
      </c>
    </row>
    <row r="5068" spans="1:3" x14ac:dyDescent="0.3">
      <c r="A5068" s="426">
        <v>45443</v>
      </c>
      <c r="B5068">
        <v>68114.02</v>
      </c>
      <c r="C5068" t="s">
        <v>5276</v>
      </c>
    </row>
    <row r="5069" spans="1:3" x14ac:dyDescent="0.3">
      <c r="A5069" s="426">
        <v>45444</v>
      </c>
      <c r="B5069">
        <v>67653.09</v>
      </c>
      <c r="C5069" t="s">
        <v>5277</v>
      </c>
    </row>
    <row r="5070" spans="1:3" x14ac:dyDescent="0.3">
      <c r="A5070" s="426">
        <v>45445</v>
      </c>
      <c r="B5070">
        <v>67757.22</v>
      </c>
      <c r="C5070" t="s">
        <v>5278</v>
      </c>
    </row>
    <row r="5071" spans="1:3" x14ac:dyDescent="0.3">
      <c r="A5071" s="426">
        <v>45446</v>
      </c>
      <c r="B5071">
        <v>69034.429999999993</v>
      </c>
      <c r="C5071" t="s">
        <v>5279</v>
      </c>
    </row>
    <row r="5072" spans="1:3" x14ac:dyDescent="0.3">
      <c r="A5072" s="426">
        <v>45447</v>
      </c>
      <c r="B5072">
        <v>69218.289999999994</v>
      </c>
      <c r="C5072" t="s">
        <v>5280</v>
      </c>
    </row>
    <row r="5073" spans="1:3" x14ac:dyDescent="0.3">
      <c r="A5073" s="426">
        <v>45448</v>
      </c>
      <c r="B5073">
        <v>71026.929999999993</v>
      </c>
      <c r="C5073" t="s">
        <v>5281</v>
      </c>
    </row>
    <row r="5074" spans="1:3" x14ac:dyDescent="0.3">
      <c r="A5074" s="426">
        <v>45449</v>
      </c>
      <c r="B5074">
        <v>70983.94</v>
      </c>
      <c r="C5074" t="s">
        <v>5282</v>
      </c>
    </row>
    <row r="5075" spans="1:3" x14ac:dyDescent="0.3">
      <c r="A5075" s="426">
        <v>45450</v>
      </c>
      <c r="B5075">
        <v>71055.62</v>
      </c>
      <c r="C5075" t="s">
        <v>5283</v>
      </c>
    </row>
    <row r="5076" spans="1:3" x14ac:dyDescent="0.3">
      <c r="A5076" s="426">
        <v>45451</v>
      </c>
      <c r="B5076">
        <v>69395.59</v>
      </c>
      <c r="C5076" t="s">
        <v>5284</v>
      </c>
    </row>
    <row r="5077" spans="1:3" x14ac:dyDescent="0.3">
      <c r="A5077" s="426">
        <v>45452</v>
      </c>
      <c r="B5077">
        <v>69378.84</v>
      </c>
      <c r="C5077" t="s">
        <v>5285</v>
      </c>
    </row>
    <row r="5078" spans="1:3" x14ac:dyDescent="0.3">
      <c r="A5078" s="426">
        <v>45453</v>
      </c>
      <c r="B5078">
        <v>69531.839999999997</v>
      </c>
      <c r="C5078" t="s">
        <v>5286</v>
      </c>
    </row>
    <row r="5079" spans="1:3" x14ac:dyDescent="0.3">
      <c r="A5079" s="426">
        <v>45454</v>
      </c>
      <c r="B5079">
        <v>67356.11</v>
      </c>
      <c r="C5079" t="s">
        <v>5287</v>
      </c>
    </row>
    <row r="5080" spans="1:3" x14ac:dyDescent="0.3">
      <c r="A5080" s="426">
        <v>45455</v>
      </c>
      <c r="B5080">
        <v>67871.289999999994</v>
      </c>
      <c r="C5080" t="s">
        <v>5288</v>
      </c>
    </row>
    <row r="5081" spans="1:3" x14ac:dyDescent="0.3">
      <c r="A5081" s="426">
        <v>45456</v>
      </c>
      <c r="B5081">
        <v>67414.73</v>
      </c>
      <c r="C5081" t="s">
        <v>5289</v>
      </c>
    </row>
    <row r="5082" spans="1:3" x14ac:dyDescent="0.3">
      <c r="A5082" s="426">
        <v>45457</v>
      </c>
      <c r="B5082">
        <v>66758.87</v>
      </c>
      <c r="C5082" t="s">
        <v>5290</v>
      </c>
    </row>
    <row r="5083" spans="1:3" x14ac:dyDescent="0.3">
      <c r="A5083" s="426">
        <v>45458</v>
      </c>
      <c r="B5083">
        <v>66186.899999999994</v>
      </c>
      <c r="C5083" t="s">
        <v>5291</v>
      </c>
    </row>
    <row r="5084" spans="1:3" x14ac:dyDescent="0.3">
      <c r="A5084" s="426">
        <v>45459</v>
      </c>
      <c r="B5084">
        <v>66478.289999999994</v>
      </c>
      <c r="C5084" t="s">
        <v>5292</v>
      </c>
    </row>
    <row r="5085" spans="1:3" x14ac:dyDescent="0.3">
      <c r="A5085" s="426">
        <v>45460</v>
      </c>
      <c r="B5085">
        <v>66292.240000000005</v>
      </c>
      <c r="C5085" t="s">
        <v>5293</v>
      </c>
    </row>
    <row r="5086" spans="1:3" x14ac:dyDescent="0.3">
      <c r="A5086" s="426">
        <v>45461</v>
      </c>
      <c r="B5086">
        <v>65223.040000000001</v>
      </c>
      <c r="C5086" t="s">
        <v>5294</v>
      </c>
    </row>
    <row r="5087" spans="1:3" x14ac:dyDescent="0.3">
      <c r="A5087" s="426">
        <v>45462</v>
      </c>
      <c r="B5087">
        <v>65136.53</v>
      </c>
      <c r="C5087" t="s">
        <v>5295</v>
      </c>
    </row>
    <row r="5088" spans="1:3" x14ac:dyDescent="0.3">
      <c r="A5088" s="426">
        <v>45463</v>
      </c>
      <c r="B5088">
        <v>65132.91</v>
      </c>
      <c r="C5088" t="s">
        <v>5296</v>
      </c>
    </row>
    <row r="5089" spans="1:3" x14ac:dyDescent="0.3">
      <c r="A5089" s="426">
        <v>45464</v>
      </c>
      <c r="B5089">
        <v>64107.54</v>
      </c>
      <c r="C5089" t="s">
        <v>5297</v>
      </c>
    </row>
    <row r="5090" spans="1:3" x14ac:dyDescent="0.3">
      <c r="A5090" s="426">
        <v>45465</v>
      </c>
      <c r="B5090">
        <v>64273.11</v>
      </c>
      <c r="C5090" t="s">
        <v>5298</v>
      </c>
    </row>
    <row r="5091" spans="1:3" x14ac:dyDescent="0.3">
      <c r="A5091" s="426">
        <v>45466</v>
      </c>
      <c r="B5091">
        <v>64293.77</v>
      </c>
      <c r="C5091" t="s">
        <v>5299</v>
      </c>
    </row>
    <row r="5092" spans="1:3" x14ac:dyDescent="0.3">
      <c r="A5092" s="426">
        <v>45467</v>
      </c>
      <c r="B5092">
        <v>61305.83</v>
      </c>
      <c r="C5092" t="s">
        <v>5300</v>
      </c>
    </row>
    <row r="5093" spans="1:3" x14ac:dyDescent="0.3">
      <c r="A5093" s="426">
        <v>45468</v>
      </c>
      <c r="B5093">
        <v>61309.79</v>
      </c>
      <c r="C5093" t="s">
        <v>5301</v>
      </c>
    </row>
    <row r="5094" spans="1:3" x14ac:dyDescent="0.3">
      <c r="A5094" s="426">
        <v>45469</v>
      </c>
      <c r="B5094">
        <v>61480.85</v>
      </c>
      <c r="C5094" t="s">
        <v>5302</v>
      </c>
    </row>
    <row r="5095" spans="1:3" x14ac:dyDescent="0.3">
      <c r="A5095" s="426">
        <v>45470</v>
      </c>
      <c r="B5095">
        <v>61268.04</v>
      </c>
      <c r="C5095" t="s">
        <v>5303</v>
      </c>
    </row>
    <row r="5096" spans="1:3" x14ac:dyDescent="0.3">
      <c r="A5096" s="426">
        <v>45471</v>
      </c>
      <c r="B5096">
        <v>61378.07</v>
      </c>
      <c r="C5096" t="s">
        <v>5304</v>
      </c>
    </row>
    <row r="5097" spans="1:3" x14ac:dyDescent="0.3">
      <c r="A5097" s="426">
        <v>45472</v>
      </c>
      <c r="B5097">
        <v>60888.47</v>
      </c>
      <c r="C5097" t="s">
        <v>5305</v>
      </c>
    </row>
    <row r="5098" spans="1:3" x14ac:dyDescent="0.3">
      <c r="A5098" s="426">
        <v>45473</v>
      </c>
      <c r="B5098">
        <v>61480.13</v>
      </c>
      <c r="C5098" t="s">
        <v>5306</v>
      </c>
    </row>
    <row r="5099" spans="1:3" x14ac:dyDescent="0.3">
      <c r="A5099" s="426">
        <v>45474</v>
      </c>
      <c r="B5099">
        <v>63060.85</v>
      </c>
      <c r="C5099" t="s">
        <v>5307</v>
      </c>
    </row>
    <row r="5100" spans="1:3" x14ac:dyDescent="0.3">
      <c r="A5100" s="426">
        <v>45475</v>
      </c>
      <c r="B5100">
        <v>62596.84</v>
      </c>
      <c r="C5100" t="s">
        <v>5308</v>
      </c>
    </row>
    <row r="5101" spans="1:3" x14ac:dyDescent="0.3">
      <c r="A5101" s="426">
        <v>45476</v>
      </c>
      <c r="B5101">
        <v>60402.35</v>
      </c>
      <c r="C5101" t="s">
        <v>5309</v>
      </c>
    </row>
    <row r="5102" spans="1:3" x14ac:dyDescent="0.3">
      <c r="A5102" s="426">
        <v>45477</v>
      </c>
      <c r="B5102">
        <v>58216.77</v>
      </c>
      <c r="C5102" t="s">
        <v>5310</v>
      </c>
    </row>
    <row r="5103" spans="1:3" x14ac:dyDescent="0.3">
      <c r="A5103" s="426">
        <v>45478</v>
      </c>
      <c r="B5103">
        <v>55994.52</v>
      </c>
      <c r="C5103" t="s">
        <v>5311</v>
      </c>
    </row>
    <row r="5104" spans="1:3" x14ac:dyDescent="0.3">
      <c r="A5104" s="426">
        <v>45479</v>
      </c>
      <c r="B5104">
        <v>56747.23</v>
      </c>
      <c r="C5104" t="s">
        <v>5312</v>
      </c>
    </row>
    <row r="5105" spans="1:3" x14ac:dyDescent="0.3">
      <c r="A5105" s="426">
        <v>45480</v>
      </c>
      <c r="B5105">
        <v>57372.15</v>
      </c>
      <c r="C5105" t="s">
        <v>5313</v>
      </c>
    </row>
    <row r="5106" spans="1:3" x14ac:dyDescent="0.3">
      <c r="A5106" s="426">
        <v>45481</v>
      </c>
      <c r="B5106">
        <v>56327.87</v>
      </c>
      <c r="C5106" t="s">
        <v>5314</v>
      </c>
    </row>
    <row r="5107" spans="1:3" x14ac:dyDescent="0.3">
      <c r="A5107" s="426">
        <v>45482</v>
      </c>
      <c r="B5107">
        <v>57457.02</v>
      </c>
      <c r="C5107" t="s">
        <v>5315</v>
      </c>
    </row>
    <row r="5108" spans="1:3" x14ac:dyDescent="0.3">
      <c r="A5108" s="426">
        <v>45483</v>
      </c>
      <c r="B5108">
        <v>57805.31</v>
      </c>
      <c r="C5108" t="s">
        <v>5316</v>
      </c>
    </row>
    <row r="5109" spans="1:3" x14ac:dyDescent="0.3">
      <c r="A5109" s="426">
        <v>45484</v>
      </c>
      <c r="B5109">
        <v>57849.05</v>
      </c>
      <c r="C5109" t="s">
        <v>5317</v>
      </c>
    </row>
    <row r="5110" spans="1:3" x14ac:dyDescent="0.3">
      <c r="A5110" s="426">
        <v>45485</v>
      </c>
      <c r="B5110">
        <v>57382.38</v>
      </c>
      <c r="C5110" t="s">
        <v>5318</v>
      </c>
    </row>
    <row r="5111" spans="1:3" x14ac:dyDescent="0.3">
      <c r="A5111" s="426">
        <v>45486</v>
      </c>
      <c r="B5111">
        <v>58594.85</v>
      </c>
      <c r="C5111" t="s">
        <v>5319</v>
      </c>
    </row>
    <row r="5112" spans="1:3" x14ac:dyDescent="0.3">
      <c r="A5112" s="426">
        <v>45487</v>
      </c>
      <c r="B5112">
        <v>60023.73</v>
      </c>
      <c r="C5112" t="s">
        <v>5320</v>
      </c>
    </row>
    <row r="5113" spans="1:3" x14ac:dyDescent="0.3">
      <c r="A5113" s="426">
        <v>45488</v>
      </c>
      <c r="B5113">
        <v>62868.480000000003</v>
      </c>
      <c r="C5113" t="s">
        <v>5321</v>
      </c>
    </row>
    <row r="5114" spans="1:3" x14ac:dyDescent="0.3">
      <c r="A5114" s="426">
        <v>45489</v>
      </c>
      <c r="B5114">
        <v>64534.34</v>
      </c>
      <c r="C5114" t="s">
        <v>5322</v>
      </c>
    </row>
    <row r="5115" spans="1:3" x14ac:dyDescent="0.3">
      <c r="A5115" s="426">
        <v>45490</v>
      </c>
      <c r="B5115">
        <v>65133.17</v>
      </c>
      <c r="C5115" t="s">
        <v>5323</v>
      </c>
    </row>
    <row r="5116" spans="1:3" x14ac:dyDescent="0.3">
      <c r="A5116" s="426">
        <v>45491</v>
      </c>
      <c r="B5116">
        <v>64561.21</v>
      </c>
      <c r="C5116" t="s">
        <v>5324</v>
      </c>
    </row>
    <row r="5117" spans="1:3" x14ac:dyDescent="0.3">
      <c r="A5117" s="426">
        <v>45492</v>
      </c>
      <c r="B5117">
        <v>64293</v>
      </c>
      <c r="C5117" t="s">
        <v>5325</v>
      </c>
    </row>
    <row r="5118" spans="1:3" x14ac:dyDescent="0.3">
      <c r="A5118" s="426">
        <v>45493</v>
      </c>
      <c r="B5118">
        <v>66661.25</v>
      </c>
      <c r="C5118" t="s">
        <v>5326</v>
      </c>
    </row>
    <row r="5119" spans="1:3" x14ac:dyDescent="0.3">
      <c r="A5119" s="426">
        <v>45494</v>
      </c>
      <c r="B5119">
        <v>67103.34</v>
      </c>
      <c r="C5119" t="s">
        <v>5327</v>
      </c>
    </row>
    <row r="5120" spans="1:3" x14ac:dyDescent="0.3">
      <c r="A5120" s="426">
        <v>45495</v>
      </c>
      <c r="B5120">
        <v>67584.800000000003</v>
      </c>
      <c r="C5120" t="s">
        <v>5328</v>
      </c>
    </row>
    <row r="5121" spans="1:3" x14ac:dyDescent="0.3">
      <c r="A5121" s="426">
        <v>45496</v>
      </c>
      <c r="B5121">
        <v>66569.62</v>
      </c>
      <c r="C5121" t="s">
        <v>5329</v>
      </c>
    </row>
    <row r="5122" spans="1:3" x14ac:dyDescent="0.3">
      <c r="A5122" s="426">
        <v>45497</v>
      </c>
      <c r="B5122">
        <v>66038.350000000006</v>
      </c>
      <c r="C5122" t="s">
        <v>5330</v>
      </c>
    </row>
    <row r="5123" spans="1:3" x14ac:dyDescent="0.3">
      <c r="A5123" s="426">
        <v>45498</v>
      </c>
      <c r="B5123">
        <v>64399.96</v>
      </c>
      <c r="C5123" t="s">
        <v>5331</v>
      </c>
    </row>
    <row r="5124" spans="1:3" x14ac:dyDescent="0.3">
      <c r="A5124" s="426">
        <v>45499</v>
      </c>
      <c r="B5124">
        <v>67333.789999999994</v>
      </c>
      <c r="C5124" t="s">
        <v>5332</v>
      </c>
    </row>
    <row r="5125" spans="1:3" x14ac:dyDescent="0.3">
      <c r="A5125" s="426">
        <v>45500</v>
      </c>
      <c r="B5125">
        <v>68183.34</v>
      </c>
      <c r="C5125" t="s">
        <v>5333</v>
      </c>
    </row>
    <row r="5126" spans="1:3" x14ac:dyDescent="0.3">
      <c r="A5126" s="426">
        <v>45501</v>
      </c>
      <c r="B5126">
        <v>67935.350000000006</v>
      </c>
      <c r="C5126" t="s">
        <v>5334</v>
      </c>
    </row>
    <row r="5127" spans="1:3" x14ac:dyDescent="0.3">
      <c r="A5127" s="426">
        <v>45502</v>
      </c>
      <c r="B5127">
        <v>69221.63</v>
      </c>
      <c r="C5127" t="s">
        <v>5335</v>
      </c>
    </row>
    <row r="5128" spans="1:3" x14ac:dyDescent="0.3">
      <c r="A5128" s="426">
        <v>45503</v>
      </c>
      <c r="B5128">
        <v>66364.850000000006</v>
      </c>
      <c r="C5128" t="s">
        <v>5336</v>
      </c>
    </row>
    <row r="5129" spans="1:3" x14ac:dyDescent="0.3">
      <c r="A5129" s="426">
        <v>45504</v>
      </c>
      <c r="B5129">
        <v>66109.31</v>
      </c>
      <c r="C5129" t="s">
        <v>5337</v>
      </c>
    </row>
    <row r="5130" spans="1:3" x14ac:dyDescent="0.3">
      <c r="A5130" s="426">
        <v>45505</v>
      </c>
      <c r="B5130">
        <v>64297.95</v>
      </c>
      <c r="C5130" t="s">
        <v>5338</v>
      </c>
    </row>
    <row r="5131" spans="1:3" x14ac:dyDescent="0.3">
      <c r="A5131" s="426">
        <v>45506</v>
      </c>
      <c r="B5131">
        <v>64275.79</v>
      </c>
      <c r="C5131" t="s">
        <v>5339</v>
      </c>
    </row>
    <row r="5132" spans="1:3" x14ac:dyDescent="0.3">
      <c r="A5132" s="426">
        <v>45507</v>
      </c>
      <c r="B5132">
        <v>61554.559999999998</v>
      </c>
      <c r="C5132" t="s">
        <v>5340</v>
      </c>
    </row>
    <row r="5133" spans="1:3" x14ac:dyDescent="0.3">
      <c r="A5133" s="426">
        <v>45508</v>
      </c>
      <c r="B5133">
        <v>60531.6</v>
      </c>
      <c r="C5133" t="s">
        <v>5341</v>
      </c>
    </row>
    <row r="5134" spans="1:3" x14ac:dyDescent="0.3">
      <c r="A5134" s="426">
        <v>45509</v>
      </c>
      <c r="B5134">
        <v>53855.71</v>
      </c>
      <c r="C5134" t="s">
        <v>5342</v>
      </c>
    </row>
    <row r="5135" spans="1:3" x14ac:dyDescent="0.3">
      <c r="A5135" s="426">
        <v>45510</v>
      </c>
      <c r="B5135">
        <v>55910.18</v>
      </c>
      <c r="C5135" t="s">
        <v>5343</v>
      </c>
    </row>
    <row r="5136" spans="1:3" x14ac:dyDescent="0.3">
      <c r="A5136" s="426">
        <v>45511</v>
      </c>
      <c r="B5136">
        <v>56758.62</v>
      </c>
      <c r="C5136" t="s">
        <v>5344</v>
      </c>
    </row>
    <row r="5137" spans="1:3" x14ac:dyDescent="0.3">
      <c r="A5137" s="426">
        <v>45512</v>
      </c>
      <c r="B5137">
        <v>57376.98</v>
      </c>
      <c r="C5137" t="s">
        <v>5345</v>
      </c>
    </row>
    <row r="5138" spans="1:3" x14ac:dyDescent="0.3">
      <c r="A5138" s="426">
        <v>45513</v>
      </c>
      <c r="B5138">
        <v>60587.18</v>
      </c>
      <c r="C5138" t="s">
        <v>5346</v>
      </c>
    </row>
    <row r="5139" spans="1:3" x14ac:dyDescent="0.3">
      <c r="A5139" s="426">
        <v>45514</v>
      </c>
      <c r="B5139">
        <v>60742.46</v>
      </c>
      <c r="C5139" t="s">
        <v>5347</v>
      </c>
    </row>
    <row r="5140" spans="1:3" x14ac:dyDescent="0.3">
      <c r="A5140" s="426">
        <v>45515</v>
      </c>
      <c r="B5140">
        <v>60734.47</v>
      </c>
      <c r="C5140" t="s">
        <v>5348</v>
      </c>
    </row>
    <row r="5141" spans="1:3" x14ac:dyDescent="0.3">
      <c r="A5141" s="426">
        <v>45531</v>
      </c>
      <c r="B5141">
        <v>61840.18</v>
      </c>
      <c r="C5141" t="s">
        <v>579</v>
      </c>
    </row>
    <row r="5142" spans="1:3" x14ac:dyDescent="0.3">
      <c r="A5142" s="426">
        <v>45532</v>
      </c>
      <c r="B5142">
        <v>59276.59</v>
      </c>
      <c r="C5142" t="s">
        <v>579</v>
      </c>
    </row>
    <row r="5143" spans="1:3" x14ac:dyDescent="0.3">
      <c r="A5143" s="426">
        <v>45533</v>
      </c>
      <c r="B5143">
        <v>59541.21</v>
      </c>
      <c r="C5143" t="s">
        <v>579</v>
      </c>
    </row>
    <row r="5144" spans="1:3" x14ac:dyDescent="0.3">
      <c r="A5144" s="426">
        <v>45534</v>
      </c>
      <c r="B5144">
        <v>59150.239999999998</v>
      </c>
      <c r="C5144" t="s">
        <v>579</v>
      </c>
    </row>
    <row r="5145" spans="1:3" x14ac:dyDescent="0.3">
      <c r="A5145" s="426">
        <v>45535</v>
      </c>
      <c r="B5145">
        <v>59091.62</v>
      </c>
      <c r="C5145" t="s">
        <v>579</v>
      </c>
    </row>
    <row r="5146" spans="1:3" x14ac:dyDescent="0.3">
      <c r="A5146" s="426">
        <v>45536</v>
      </c>
      <c r="B5146">
        <v>58205.18</v>
      </c>
      <c r="C5146" t="s">
        <v>579</v>
      </c>
    </row>
    <row r="5147" spans="1:3" x14ac:dyDescent="0.3">
      <c r="A5147" s="426">
        <v>45537</v>
      </c>
      <c r="B5147">
        <v>58411.85</v>
      </c>
      <c r="C5147" t="s">
        <v>579</v>
      </c>
    </row>
    <row r="5148" spans="1:3" x14ac:dyDescent="0.3">
      <c r="A5148" s="426">
        <v>45538</v>
      </c>
      <c r="B5148">
        <v>58891.79</v>
      </c>
      <c r="C5148" t="s">
        <v>579</v>
      </c>
    </row>
    <row r="5149" spans="1:3" x14ac:dyDescent="0.3">
      <c r="A5149" s="426">
        <v>45539</v>
      </c>
      <c r="B5149">
        <v>56769.47</v>
      </c>
      <c r="C5149" t="s">
        <v>579</v>
      </c>
    </row>
    <row r="5150" spans="1:3" x14ac:dyDescent="0.3">
      <c r="A5150" s="426">
        <v>45540</v>
      </c>
      <c r="B5150">
        <v>56722.86</v>
      </c>
      <c r="C5150" t="s">
        <v>579</v>
      </c>
    </row>
    <row r="5151" spans="1:3" x14ac:dyDescent="0.3">
      <c r="A5151" s="426">
        <v>45541</v>
      </c>
      <c r="B5151">
        <v>55796.1</v>
      </c>
      <c r="C5151" t="s">
        <v>579</v>
      </c>
    </row>
    <row r="5152" spans="1:3" x14ac:dyDescent="0.3">
      <c r="A5152" s="426">
        <v>45542</v>
      </c>
      <c r="B5152">
        <v>54266.19</v>
      </c>
      <c r="C5152" t="s">
        <v>579</v>
      </c>
    </row>
    <row r="5153" spans="1:3" x14ac:dyDescent="0.3">
      <c r="A5153" s="426">
        <v>45543</v>
      </c>
      <c r="B5153">
        <v>54370.47</v>
      </c>
      <c r="C5153" t="s">
        <v>579</v>
      </c>
    </row>
    <row r="5154" spans="1:3" x14ac:dyDescent="0.3">
      <c r="A5154" s="426">
        <v>45544</v>
      </c>
      <c r="B5154">
        <v>55285.760000000002</v>
      </c>
      <c r="C5154" t="s">
        <v>579</v>
      </c>
    </row>
    <row r="5155" spans="1:3" x14ac:dyDescent="0.3">
      <c r="A5155" s="426">
        <v>45545</v>
      </c>
      <c r="B5155">
        <v>57134.31</v>
      </c>
      <c r="C5155" t="s">
        <v>579</v>
      </c>
    </row>
    <row r="5156" spans="1:3" x14ac:dyDescent="0.3">
      <c r="A5156" s="426">
        <v>45546</v>
      </c>
      <c r="B5156">
        <v>56775.06</v>
      </c>
      <c r="C5156" t="s">
        <v>579</v>
      </c>
    </row>
    <row r="5157" spans="1:3" x14ac:dyDescent="0.3">
      <c r="A5157" s="426">
        <v>45547</v>
      </c>
      <c r="B5157">
        <v>58067.33</v>
      </c>
      <c r="C5157" t="s">
        <v>579</v>
      </c>
    </row>
    <row r="5158" spans="1:3" x14ac:dyDescent="0.3">
      <c r="A5158" s="426">
        <v>45548</v>
      </c>
      <c r="B5158">
        <v>58140.33</v>
      </c>
      <c r="C5158" t="s">
        <v>579</v>
      </c>
    </row>
    <row r="5159" spans="1:3" x14ac:dyDescent="0.3">
      <c r="A5159" s="426">
        <v>45549</v>
      </c>
      <c r="B5159">
        <v>59998.8</v>
      </c>
      <c r="C5159" t="s">
        <v>579</v>
      </c>
    </row>
    <row r="5160" spans="1:3" x14ac:dyDescent="0.3">
      <c r="A5160" s="426">
        <v>45550</v>
      </c>
      <c r="B5160">
        <v>60078.31</v>
      </c>
      <c r="C5160" t="s">
        <v>579</v>
      </c>
    </row>
    <row r="5161" spans="1:3" x14ac:dyDescent="0.3">
      <c r="A5161" s="426">
        <v>45551</v>
      </c>
      <c r="B5161">
        <v>58434.58</v>
      </c>
      <c r="C5161" t="s">
        <v>579</v>
      </c>
    </row>
    <row r="5162" spans="1:3" x14ac:dyDescent="0.3">
      <c r="A5162" s="426">
        <v>45552</v>
      </c>
      <c r="B5162">
        <v>59211.95</v>
      </c>
      <c r="C5162" t="s">
        <v>579</v>
      </c>
    </row>
    <row r="5163" spans="1:3" x14ac:dyDescent="0.3">
      <c r="A5163" s="426">
        <v>45553</v>
      </c>
      <c r="B5163">
        <v>60193.22</v>
      </c>
      <c r="C5163" t="s">
        <v>579</v>
      </c>
    </row>
    <row r="5164" spans="1:3" x14ac:dyDescent="0.3">
      <c r="A5164" s="426">
        <v>45554</v>
      </c>
      <c r="B5164">
        <v>62730.57</v>
      </c>
      <c r="C5164" t="s">
        <v>579</v>
      </c>
    </row>
    <row r="5165" spans="1:3" x14ac:dyDescent="0.3">
      <c r="A5165" s="426">
        <v>45555</v>
      </c>
      <c r="B5165">
        <v>63204.38</v>
      </c>
      <c r="C5165" t="s">
        <v>579</v>
      </c>
    </row>
    <row r="5166" spans="1:3" x14ac:dyDescent="0.3">
      <c r="A5166" s="426">
        <v>45556</v>
      </c>
      <c r="B5166">
        <v>63127.24</v>
      </c>
      <c r="C5166" t="s">
        <v>579</v>
      </c>
    </row>
    <row r="5167" spans="1:3" x14ac:dyDescent="0.3">
      <c r="A5167" s="426">
        <v>45557</v>
      </c>
      <c r="B5167">
        <v>62981.8</v>
      </c>
      <c r="C5167" t="s">
        <v>579</v>
      </c>
    </row>
    <row r="5168" spans="1:3" x14ac:dyDescent="0.3">
      <c r="A5168" s="426">
        <v>45558</v>
      </c>
      <c r="B5168">
        <v>63468.800000000003</v>
      </c>
      <c r="C5168" t="s">
        <v>579</v>
      </c>
    </row>
    <row r="5169" spans="1:3" x14ac:dyDescent="0.3">
      <c r="A5169" s="426">
        <v>45559</v>
      </c>
      <c r="B5169">
        <v>63513.67</v>
      </c>
      <c r="C5169" t="s">
        <v>579</v>
      </c>
    </row>
    <row r="5170" spans="1:3" x14ac:dyDescent="0.3">
      <c r="A5170" s="426">
        <v>45560</v>
      </c>
      <c r="B5170">
        <v>63746.84</v>
      </c>
      <c r="C5170" t="s">
        <v>579</v>
      </c>
    </row>
    <row r="5171" spans="1:3" x14ac:dyDescent="0.3">
      <c r="A5171" s="426">
        <v>45561</v>
      </c>
      <c r="B5171">
        <v>64378.53</v>
      </c>
      <c r="C5171" t="s">
        <v>579</v>
      </c>
    </row>
    <row r="5172" spans="1:3" x14ac:dyDescent="0.3">
      <c r="A5172" s="426">
        <v>45562</v>
      </c>
      <c r="B5172">
        <v>65664.240000000005</v>
      </c>
      <c r="C5172" t="s">
        <v>579</v>
      </c>
    </row>
    <row r="5173" spans="1:3" x14ac:dyDescent="0.3">
      <c r="A5173" s="426">
        <v>45563</v>
      </c>
      <c r="B5173">
        <v>65738.350000000006</v>
      </c>
      <c r="C5173" t="s">
        <v>579</v>
      </c>
    </row>
    <row r="5174" spans="1:3" x14ac:dyDescent="0.3">
      <c r="A5174" s="426">
        <v>45564</v>
      </c>
      <c r="B5174">
        <v>65741.759999999995</v>
      </c>
      <c r="C5174" t="s">
        <v>579</v>
      </c>
    </row>
    <row r="5175" spans="1:3" x14ac:dyDescent="0.3">
      <c r="A5175" s="426">
        <v>45565</v>
      </c>
      <c r="B5175">
        <v>63822.14</v>
      </c>
      <c r="C5175" t="s">
        <v>579</v>
      </c>
    </row>
    <row r="5176" spans="1:3" x14ac:dyDescent="0.3">
      <c r="A5176" s="426">
        <v>45566</v>
      </c>
      <c r="B5176">
        <v>63396.97</v>
      </c>
      <c r="C5176" t="s">
        <v>579</v>
      </c>
    </row>
    <row r="5177" spans="1:3" x14ac:dyDescent="0.3">
      <c r="A5177" s="426">
        <v>45567</v>
      </c>
      <c r="B5177">
        <v>61389.54</v>
      </c>
      <c r="C5177" t="s">
        <v>579</v>
      </c>
    </row>
    <row r="5178" spans="1:3" x14ac:dyDescent="0.3">
      <c r="A5178" s="426">
        <v>45568</v>
      </c>
      <c r="B5178">
        <v>60755.53</v>
      </c>
      <c r="C5178" t="s">
        <v>579</v>
      </c>
    </row>
    <row r="5179" spans="1:3" x14ac:dyDescent="0.3">
      <c r="A5179" s="426">
        <v>45569</v>
      </c>
      <c r="B5179">
        <v>61472.63</v>
      </c>
      <c r="C5179" t="s">
        <v>579</v>
      </c>
    </row>
    <row r="5180" spans="1:3" x14ac:dyDescent="0.3">
      <c r="A5180" s="426">
        <v>45570</v>
      </c>
      <c r="B5180">
        <v>62086.45</v>
      </c>
      <c r="C5180" t="s">
        <v>579</v>
      </c>
    </row>
    <row r="5181" spans="1:3" x14ac:dyDescent="0.3">
      <c r="A5181" s="426">
        <v>45571</v>
      </c>
      <c r="B5181">
        <v>62131.08</v>
      </c>
      <c r="C5181" t="s">
        <v>579</v>
      </c>
    </row>
    <row r="5182" spans="1:3" x14ac:dyDescent="0.3">
      <c r="A5182" s="426">
        <v>45572</v>
      </c>
      <c r="B5182">
        <v>63508.13</v>
      </c>
      <c r="C5182" t="s">
        <v>579</v>
      </c>
    </row>
    <row r="5183" spans="1:3" x14ac:dyDescent="0.3">
      <c r="A5183" s="426">
        <v>45573</v>
      </c>
      <c r="B5183">
        <v>62420.63</v>
      </c>
      <c r="C5183" t="s">
        <v>579</v>
      </c>
    </row>
    <row r="5184" spans="1:3" x14ac:dyDescent="0.3">
      <c r="A5184" s="426">
        <v>45574</v>
      </c>
      <c r="B5184">
        <v>62079.14</v>
      </c>
      <c r="C5184" t="s">
        <v>579</v>
      </c>
    </row>
    <row r="5185" spans="1:3" x14ac:dyDescent="0.3">
      <c r="A5185" s="426">
        <v>45575</v>
      </c>
      <c r="B5185">
        <v>60711.45</v>
      </c>
      <c r="C5185" t="s">
        <v>579</v>
      </c>
    </row>
    <row r="5186" spans="1:3" x14ac:dyDescent="0.3">
      <c r="A5186" s="426">
        <v>45576</v>
      </c>
      <c r="B5186">
        <v>61212.01</v>
      </c>
      <c r="C5186" t="s">
        <v>579</v>
      </c>
    </row>
    <row r="5187" spans="1:3" x14ac:dyDescent="0.3">
      <c r="A5187" s="426">
        <v>45577</v>
      </c>
      <c r="B5187">
        <v>62971.54</v>
      </c>
      <c r="C5187" t="s">
        <v>579</v>
      </c>
    </row>
    <row r="5188" spans="1:3" x14ac:dyDescent="0.3">
      <c r="A5188" s="426">
        <v>45578</v>
      </c>
      <c r="B5188">
        <v>62760.25</v>
      </c>
      <c r="C5188" t="s">
        <v>579</v>
      </c>
    </row>
    <row r="5189" spans="1:3" x14ac:dyDescent="0.3">
      <c r="A5189" s="426">
        <v>45579</v>
      </c>
      <c r="B5189">
        <v>64866.5</v>
      </c>
      <c r="C5189" t="s">
        <v>579</v>
      </c>
    </row>
    <row r="5190" spans="1:3" x14ac:dyDescent="0.3">
      <c r="A5190" s="426">
        <v>45580</v>
      </c>
      <c r="B5190">
        <v>65824.66</v>
      </c>
      <c r="C5190" t="s">
        <v>579</v>
      </c>
    </row>
    <row r="5191" spans="1:3" x14ac:dyDescent="0.3">
      <c r="A5191" s="426">
        <v>45581</v>
      </c>
      <c r="B5191">
        <v>67630.240000000005</v>
      </c>
      <c r="C5191" t="s">
        <v>579</v>
      </c>
    </row>
    <row r="5192" spans="1:3" x14ac:dyDescent="0.3">
      <c r="A5192" s="426">
        <v>45582</v>
      </c>
      <c r="B5192">
        <v>67258.600000000006</v>
      </c>
      <c r="C5192" t="s">
        <v>579</v>
      </c>
    </row>
    <row r="5193" spans="1:3" x14ac:dyDescent="0.3">
      <c r="A5193" s="426">
        <v>45583</v>
      </c>
      <c r="B5193">
        <v>68067.399999999994</v>
      </c>
      <c r="C5193" t="s">
        <v>579</v>
      </c>
    </row>
    <row r="5194" spans="1:3" x14ac:dyDescent="0.3">
      <c r="A5194" s="426">
        <v>45584</v>
      </c>
      <c r="B5194">
        <v>68302.75</v>
      </c>
      <c r="C5194" t="s">
        <v>579</v>
      </c>
    </row>
    <row r="5195" spans="1:3" x14ac:dyDescent="0.3">
      <c r="A5195" s="426">
        <v>45585</v>
      </c>
      <c r="B5195">
        <v>68416.350000000006</v>
      </c>
      <c r="C5195" t="s">
        <v>579</v>
      </c>
    </row>
    <row r="5196" spans="1:3" x14ac:dyDescent="0.3">
      <c r="A5196" s="426">
        <v>45586</v>
      </c>
      <c r="B5196">
        <v>68217.09</v>
      </c>
      <c r="C5196" t="s">
        <v>579</v>
      </c>
    </row>
    <row r="5197" spans="1:3" x14ac:dyDescent="0.3">
      <c r="A5197" s="426">
        <v>45587</v>
      </c>
      <c r="B5197">
        <v>67375.89</v>
      </c>
      <c r="C5197" t="s">
        <v>579</v>
      </c>
    </row>
    <row r="5198" spans="1:3" x14ac:dyDescent="0.3">
      <c r="A5198" s="426">
        <v>45588</v>
      </c>
      <c r="B5198">
        <v>66487.850000000006</v>
      </c>
      <c r="C5198" t="s">
        <v>579</v>
      </c>
    </row>
    <row r="5199" spans="1:3" x14ac:dyDescent="0.3">
      <c r="A5199" s="426">
        <v>45589</v>
      </c>
      <c r="B5199">
        <v>67360.67</v>
      </c>
      <c r="C5199" t="s">
        <v>579</v>
      </c>
    </row>
    <row r="5200" spans="1:3" x14ac:dyDescent="0.3">
      <c r="A5200" s="426">
        <v>45590</v>
      </c>
      <c r="B5200">
        <v>67708.05</v>
      </c>
      <c r="C5200" t="s">
        <v>579</v>
      </c>
    </row>
    <row r="5201" spans="1:3" x14ac:dyDescent="0.3">
      <c r="A5201" s="426">
        <v>45591</v>
      </c>
      <c r="B5201">
        <v>66977.59</v>
      </c>
      <c r="C5201" t="s">
        <v>579</v>
      </c>
    </row>
    <row r="5202" spans="1:3" x14ac:dyDescent="0.3">
      <c r="A5202" s="426">
        <v>45592</v>
      </c>
      <c r="B5202">
        <v>67277.899999999994</v>
      </c>
      <c r="C5202" t="s">
        <v>579</v>
      </c>
    </row>
    <row r="5203" spans="1:3" x14ac:dyDescent="0.3">
      <c r="A5203" s="426">
        <v>45593</v>
      </c>
      <c r="B5203">
        <v>68630.759999999995</v>
      </c>
      <c r="C5203" t="s">
        <v>579</v>
      </c>
    </row>
    <row r="5204" spans="1:3" x14ac:dyDescent="0.3">
      <c r="A5204" s="426">
        <v>45594</v>
      </c>
      <c r="B5204">
        <v>71266.73</v>
      </c>
      <c r="C5204" t="s">
        <v>579</v>
      </c>
    </row>
    <row r="5205" spans="1:3" x14ac:dyDescent="0.3">
      <c r="A5205" s="426">
        <v>45595</v>
      </c>
      <c r="B5205">
        <v>72264.63</v>
      </c>
      <c r="C5205" t="s">
        <v>579</v>
      </c>
    </row>
    <row r="5206" spans="1:3" x14ac:dyDescent="0.3">
      <c r="A5206" s="426">
        <v>45596</v>
      </c>
      <c r="B5206">
        <v>72114.91</v>
      </c>
      <c r="C5206" t="s">
        <v>579</v>
      </c>
    </row>
    <row r="5207" spans="1:3" x14ac:dyDescent="0.3">
      <c r="A5207" s="426">
        <v>45597</v>
      </c>
      <c r="B5207">
        <v>69500.75</v>
      </c>
      <c r="C5207" t="s">
        <v>579</v>
      </c>
    </row>
    <row r="5208" spans="1:3" x14ac:dyDescent="0.3">
      <c r="A5208" s="426">
        <v>45598</v>
      </c>
      <c r="B5208">
        <v>69536.03</v>
      </c>
      <c r="C5208" t="s">
        <v>579</v>
      </c>
    </row>
    <row r="5209" spans="1:3" x14ac:dyDescent="0.3">
      <c r="A5209" s="426">
        <v>45599</v>
      </c>
      <c r="B5209">
        <v>68450.22</v>
      </c>
      <c r="C5209" t="s">
        <v>579</v>
      </c>
    </row>
    <row r="5210" spans="1:3" x14ac:dyDescent="0.3">
      <c r="A5210" s="426">
        <v>45600</v>
      </c>
      <c r="B5210">
        <v>68614.03</v>
      </c>
      <c r="C5210" t="s">
        <v>579</v>
      </c>
    </row>
    <row r="5211" spans="1:3" x14ac:dyDescent="0.3">
      <c r="A5211" s="426">
        <v>45601</v>
      </c>
      <c r="B5211">
        <v>68813.72</v>
      </c>
      <c r="C5211" t="s">
        <v>579</v>
      </c>
    </row>
    <row r="5212" spans="1:3" x14ac:dyDescent="0.3">
      <c r="A5212" s="426">
        <v>45602</v>
      </c>
      <c r="B5212">
        <v>74347.55</v>
      </c>
      <c r="C5212" t="s">
        <v>579</v>
      </c>
    </row>
    <row r="5213" spans="1:3" x14ac:dyDescent="0.3">
      <c r="A5213" s="426">
        <v>45603</v>
      </c>
      <c r="B5213">
        <v>75247.289999999994</v>
      </c>
      <c r="C5213" t="s">
        <v>579</v>
      </c>
    </row>
    <row r="5214" spans="1:3" x14ac:dyDescent="0.3">
      <c r="A5214" s="426">
        <v>45604</v>
      </c>
      <c r="B5214">
        <v>76133.17</v>
      </c>
      <c r="C5214" t="s">
        <v>579</v>
      </c>
    </row>
    <row r="5215" spans="1:3" x14ac:dyDescent="0.3">
      <c r="A5215" s="426">
        <v>45605</v>
      </c>
      <c r="B5215">
        <v>76419.27</v>
      </c>
      <c r="C5215" t="s">
        <v>579</v>
      </c>
    </row>
    <row r="5216" spans="1:3" x14ac:dyDescent="0.3">
      <c r="A5216" s="426">
        <v>45606</v>
      </c>
      <c r="B5216">
        <v>79570.19</v>
      </c>
      <c r="C5216" t="s">
        <v>579</v>
      </c>
    </row>
    <row r="5217" spans="1:3" x14ac:dyDescent="0.3">
      <c r="A5217" s="426">
        <v>45607</v>
      </c>
      <c r="B5217">
        <v>82044.149999999994</v>
      </c>
      <c r="C5217" t="s">
        <v>579</v>
      </c>
    </row>
    <row r="5218" spans="1:3" x14ac:dyDescent="0.3">
      <c r="A5218" s="426">
        <v>45608</v>
      </c>
      <c r="B5218">
        <v>88275.41</v>
      </c>
      <c r="C5218" t="s">
        <v>579</v>
      </c>
    </row>
    <row r="5219" spans="1:3" x14ac:dyDescent="0.3">
      <c r="A5219" s="426">
        <v>45609</v>
      </c>
      <c r="B5219">
        <v>88168.06</v>
      </c>
      <c r="C5219" t="s">
        <v>579</v>
      </c>
    </row>
    <row r="5220" spans="1:3" x14ac:dyDescent="0.3">
      <c r="A5220" s="426">
        <v>45610</v>
      </c>
      <c r="B5220">
        <v>89972.67</v>
      </c>
      <c r="C5220" t="s">
        <v>579</v>
      </c>
    </row>
    <row r="5221" spans="1:3" x14ac:dyDescent="0.3">
      <c r="A5221" s="426">
        <v>45611</v>
      </c>
      <c r="B5221">
        <v>89254.74</v>
      </c>
      <c r="C5221" t="s">
        <v>579</v>
      </c>
    </row>
    <row r="5222" spans="1:3" x14ac:dyDescent="0.3">
      <c r="A5222" s="426">
        <v>45612</v>
      </c>
      <c r="B5222">
        <v>91149.41</v>
      </c>
      <c r="C5222" t="s">
        <v>579</v>
      </c>
    </row>
    <row r="5223" spans="1:3" x14ac:dyDescent="0.3">
      <c r="A5223" s="426">
        <v>45613</v>
      </c>
      <c r="B5223">
        <v>90479.14</v>
      </c>
      <c r="C5223" t="s">
        <v>579</v>
      </c>
    </row>
    <row r="5224" spans="1:3" x14ac:dyDescent="0.3">
      <c r="A5224" s="426">
        <v>45614</v>
      </c>
      <c r="B5224">
        <v>90840.91</v>
      </c>
      <c r="C5224" t="s">
        <v>579</v>
      </c>
    </row>
    <row r="5225" spans="1:3" x14ac:dyDescent="0.3">
      <c r="A5225" s="426">
        <v>45615</v>
      </c>
      <c r="B5225">
        <v>91855.57</v>
      </c>
      <c r="C5225" t="s">
        <v>579</v>
      </c>
    </row>
    <row r="5226" spans="1:3" x14ac:dyDescent="0.3">
      <c r="A5226" s="426">
        <v>45616</v>
      </c>
      <c r="B5226">
        <v>93587.61</v>
      </c>
      <c r="C5226" t="s">
        <v>579</v>
      </c>
    </row>
    <row r="5227" spans="1:3" x14ac:dyDescent="0.3">
      <c r="A5227" s="426">
        <v>45617</v>
      </c>
      <c r="B5227">
        <v>97477.37</v>
      </c>
      <c r="C5227" t="s">
        <v>579</v>
      </c>
    </row>
    <row r="5228" spans="1:3" x14ac:dyDescent="0.3">
      <c r="A5228" s="426">
        <v>45618</v>
      </c>
      <c r="B5228">
        <v>98897.08</v>
      </c>
      <c r="C5228" t="s">
        <v>579</v>
      </c>
    </row>
    <row r="5229" spans="1:3" x14ac:dyDescent="0.3">
      <c r="A5229" s="426">
        <v>45619</v>
      </c>
      <c r="B5229">
        <v>98546.61</v>
      </c>
      <c r="C5229" t="s">
        <v>579</v>
      </c>
    </row>
    <row r="5230" spans="1:3" x14ac:dyDescent="0.3">
      <c r="A5230" s="426">
        <v>45620</v>
      </c>
      <c r="B5230">
        <v>97939.48</v>
      </c>
      <c r="C5230" t="s">
        <v>579</v>
      </c>
    </row>
    <row r="5231" spans="1:3" x14ac:dyDescent="0.3">
      <c r="A5231" s="426">
        <v>45621</v>
      </c>
      <c r="B5231">
        <v>97583.14</v>
      </c>
      <c r="C5231" t="s">
        <v>579</v>
      </c>
    </row>
    <row r="5232" spans="1:3" x14ac:dyDescent="0.3">
      <c r="A5232" s="426">
        <v>45622</v>
      </c>
      <c r="B5232">
        <v>93018.12</v>
      </c>
      <c r="C5232" t="s">
        <v>579</v>
      </c>
    </row>
    <row r="5233" spans="1:3" x14ac:dyDescent="0.3">
      <c r="A5233" s="426">
        <v>45623</v>
      </c>
      <c r="B5233">
        <v>93629.04</v>
      </c>
      <c r="C5233" t="s">
        <v>579</v>
      </c>
    </row>
    <row r="5234" spans="1:3" x14ac:dyDescent="0.3">
      <c r="A5234" s="426">
        <v>45624</v>
      </c>
      <c r="B5234">
        <v>95456.15</v>
      </c>
      <c r="C5234" t="s">
        <v>579</v>
      </c>
    </row>
    <row r="5235" spans="1:3" x14ac:dyDescent="0.3">
      <c r="A5235" s="426">
        <v>45625</v>
      </c>
      <c r="B5235">
        <v>97002.96</v>
      </c>
      <c r="C5235" t="s">
        <v>579</v>
      </c>
    </row>
    <row r="5236" spans="1:3" x14ac:dyDescent="0.3">
      <c r="A5236" s="426">
        <v>45626</v>
      </c>
      <c r="B5236">
        <v>96728.75</v>
      </c>
      <c r="C5236" t="s">
        <v>579</v>
      </c>
    </row>
    <row r="5237" spans="1:3" x14ac:dyDescent="0.3">
      <c r="A5237" s="426">
        <v>45627</v>
      </c>
      <c r="B5237">
        <v>97065.06</v>
      </c>
      <c r="C5237" t="s">
        <v>579</v>
      </c>
    </row>
    <row r="5238" spans="1:3" x14ac:dyDescent="0.3">
      <c r="A5238" s="426">
        <v>45628</v>
      </c>
      <c r="B5238">
        <v>95868.13</v>
      </c>
      <c r="C5238" t="s">
        <v>579</v>
      </c>
    </row>
    <row r="5239" spans="1:3" x14ac:dyDescent="0.3">
      <c r="A5239" s="426">
        <v>45629</v>
      </c>
      <c r="B5239">
        <v>95629.78</v>
      </c>
      <c r="C5239" t="s">
        <v>579</v>
      </c>
    </row>
    <row r="5240" spans="1:3" x14ac:dyDescent="0.3">
      <c r="A5240" s="426">
        <v>45630</v>
      </c>
      <c r="B5240">
        <v>96316.08</v>
      </c>
      <c r="C5240" t="s">
        <v>579</v>
      </c>
    </row>
    <row r="5241" spans="1:3" x14ac:dyDescent="0.3">
      <c r="A5241" s="426">
        <v>45631</v>
      </c>
      <c r="B5241">
        <v>101970.31</v>
      </c>
      <c r="C5241" t="s">
        <v>579</v>
      </c>
    </row>
    <row r="5242" spans="1:3" x14ac:dyDescent="0.3">
      <c r="A5242" s="426">
        <v>45632</v>
      </c>
      <c r="B5242">
        <v>98233.05</v>
      </c>
      <c r="C5242" t="s">
        <v>579</v>
      </c>
    </row>
    <row r="5243" spans="1:3" x14ac:dyDescent="0.3">
      <c r="A5243" s="426">
        <v>45633</v>
      </c>
      <c r="B5243">
        <v>99741.97</v>
      </c>
      <c r="C5243" t="s">
        <v>579</v>
      </c>
    </row>
    <row r="5244" spans="1:3" x14ac:dyDescent="0.3">
      <c r="A5244" s="426">
        <v>45634</v>
      </c>
      <c r="B5244">
        <v>99906.66</v>
      </c>
      <c r="C5244" t="s">
        <v>579</v>
      </c>
    </row>
    <row r="5245" spans="1:3" x14ac:dyDescent="0.3">
      <c r="A5245" s="426">
        <v>45635</v>
      </c>
      <c r="B5245">
        <v>98630.19</v>
      </c>
      <c r="C5245" t="s">
        <v>579</v>
      </c>
    </row>
    <row r="5246" spans="1:3" x14ac:dyDescent="0.3">
      <c r="A5246" s="426">
        <v>45636</v>
      </c>
      <c r="B5246">
        <v>97096.18</v>
      </c>
      <c r="C5246" t="s">
        <v>579</v>
      </c>
    </row>
    <row r="5247" spans="1:3" x14ac:dyDescent="0.3">
      <c r="A5247" s="426">
        <v>45637</v>
      </c>
      <c r="B5247">
        <v>98334.84</v>
      </c>
      <c r="C5247" t="s">
        <v>579</v>
      </c>
    </row>
    <row r="5248" spans="1:3" x14ac:dyDescent="0.3">
      <c r="A5248" s="426">
        <v>45638</v>
      </c>
      <c r="B5248">
        <v>100841.60000000001</v>
      </c>
      <c r="C5248" t="s">
        <v>579</v>
      </c>
    </row>
    <row r="5249" spans="1:3" x14ac:dyDescent="0.3">
      <c r="A5249" s="426">
        <v>45639</v>
      </c>
      <c r="B5249">
        <v>100292.16</v>
      </c>
      <c r="C5249" t="s">
        <v>579</v>
      </c>
    </row>
    <row r="5250" spans="1:3" x14ac:dyDescent="0.3">
      <c r="A5250" s="426">
        <v>45640</v>
      </c>
      <c r="B5250">
        <v>101542.62</v>
      </c>
      <c r="C5250" t="s">
        <v>579</v>
      </c>
    </row>
    <row r="5251" spans="1:3" x14ac:dyDescent="0.3">
      <c r="A5251" s="426">
        <v>45641</v>
      </c>
      <c r="B5251">
        <v>102684.92</v>
      </c>
      <c r="C5251" t="s">
        <v>579</v>
      </c>
    </row>
    <row r="5252" spans="1:3" x14ac:dyDescent="0.3">
      <c r="A5252" s="426">
        <v>45642</v>
      </c>
      <c r="B5252">
        <v>105103.52</v>
      </c>
      <c r="C5252" t="s">
        <v>579</v>
      </c>
    </row>
    <row r="5253" spans="1:3" x14ac:dyDescent="0.3">
      <c r="A5253" s="426">
        <v>45643</v>
      </c>
      <c r="B5253">
        <v>106743.69</v>
      </c>
      <c r="C5253" t="s">
        <v>579</v>
      </c>
    </row>
    <row r="5254" spans="1:3" x14ac:dyDescent="0.3">
      <c r="A5254" s="426">
        <v>45644</v>
      </c>
      <c r="B5254">
        <v>104214.32</v>
      </c>
      <c r="C5254" t="s">
        <v>579</v>
      </c>
    </row>
    <row r="5255" spans="1:3" x14ac:dyDescent="0.3">
      <c r="A5255" s="426">
        <v>45645</v>
      </c>
      <c r="B5255">
        <v>100766.49</v>
      </c>
      <c r="C5255" t="s">
        <v>579</v>
      </c>
    </row>
    <row r="5256" spans="1:3" x14ac:dyDescent="0.3">
      <c r="A5256" s="426">
        <v>45646</v>
      </c>
      <c r="B5256">
        <v>97000.99</v>
      </c>
      <c r="C5256" t="s">
        <v>579</v>
      </c>
    </row>
    <row r="5257" spans="1:3" x14ac:dyDescent="0.3">
      <c r="A5257" s="426">
        <v>45647</v>
      </c>
      <c r="B5257">
        <v>97467.82</v>
      </c>
      <c r="C5257" t="s">
        <v>579</v>
      </c>
    </row>
    <row r="5258" spans="1:3" x14ac:dyDescent="0.3">
      <c r="A5258" s="426">
        <v>45648</v>
      </c>
      <c r="B5258">
        <v>96457.91</v>
      </c>
      <c r="C5258" t="s">
        <v>579</v>
      </c>
    </row>
    <row r="5259" spans="1:3" x14ac:dyDescent="0.3">
      <c r="A5259" s="426">
        <v>45649</v>
      </c>
      <c r="B5259">
        <v>94802.39</v>
      </c>
      <c r="C5259" t="s">
        <v>579</v>
      </c>
    </row>
    <row r="5260" spans="1:3" x14ac:dyDescent="0.3">
      <c r="A5260" s="426">
        <v>45650</v>
      </c>
      <c r="B5260">
        <v>94469.09</v>
      </c>
      <c r="C5260" t="s">
        <v>579</v>
      </c>
    </row>
    <row r="5261" spans="1:3" x14ac:dyDescent="0.3">
      <c r="A5261" s="426">
        <v>45651</v>
      </c>
      <c r="B5261">
        <v>98327.66</v>
      </c>
      <c r="C5261" t="s">
        <v>579</v>
      </c>
    </row>
    <row r="5262" spans="1:3" x14ac:dyDescent="0.3">
      <c r="A5262" s="426">
        <v>45652</v>
      </c>
      <c r="B5262">
        <v>95861.13</v>
      </c>
      <c r="C5262" t="s">
        <v>579</v>
      </c>
    </row>
    <row r="5263" spans="1:3" x14ac:dyDescent="0.3">
      <c r="A5263" s="426">
        <v>45653</v>
      </c>
      <c r="B5263">
        <v>95691.61</v>
      </c>
      <c r="C5263" t="s">
        <v>579</v>
      </c>
    </row>
    <row r="5264" spans="1:3" x14ac:dyDescent="0.3">
      <c r="A5264" s="426">
        <v>45654</v>
      </c>
      <c r="B5264">
        <v>94493.52</v>
      </c>
      <c r="C5264" t="s">
        <v>579</v>
      </c>
    </row>
    <row r="5265" spans="1:3" x14ac:dyDescent="0.3">
      <c r="A5265" s="426">
        <v>45655</v>
      </c>
      <c r="B5265">
        <v>94838.01</v>
      </c>
      <c r="C5265" t="s">
        <v>579</v>
      </c>
    </row>
    <row r="5266" spans="1:3" x14ac:dyDescent="0.3">
      <c r="A5266" s="426">
        <v>45656</v>
      </c>
      <c r="B5266">
        <v>93561.2</v>
      </c>
      <c r="C5266" t="s">
        <v>579</v>
      </c>
    </row>
    <row r="5267" spans="1:3" x14ac:dyDescent="0.3">
      <c r="A5267" s="426">
        <v>45657</v>
      </c>
      <c r="B5267">
        <v>93765.05</v>
      </c>
      <c r="C5267" t="s">
        <v>579</v>
      </c>
    </row>
    <row r="5268" spans="1:3" x14ac:dyDescent="0.3">
      <c r="A5268" s="426">
        <v>45658</v>
      </c>
      <c r="B5268">
        <v>93683.92</v>
      </c>
      <c r="C5268" t="s">
        <v>579</v>
      </c>
    </row>
    <row r="5269" spans="1:3" x14ac:dyDescent="0.3">
      <c r="A5269" s="426">
        <v>45659</v>
      </c>
      <c r="B5269">
        <v>96535.56</v>
      </c>
      <c r="C5269" t="s">
        <v>579</v>
      </c>
    </row>
    <row r="5270" spans="1:3" x14ac:dyDescent="0.3">
      <c r="A5270" s="426">
        <v>45660</v>
      </c>
      <c r="B5270">
        <v>96897</v>
      </c>
      <c r="C5270" t="s">
        <v>579</v>
      </c>
    </row>
    <row r="5271" spans="1:3" x14ac:dyDescent="0.3">
      <c r="A5271" s="426">
        <v>45661</v>
      </c>
      <c r="B5271">
        <v>98029.48</v>
      </c>
      <c r="C5271" t="s">
        <v>579</v>
      </c>
    </row>
    <row r="5272" spans="1:3" x14ac:dyDescent="0.3">
      <c r="A5272" s="426">
        <v>45662</v>
      </c>
      <c r="B5272">
        <v>98089.54</v>
      </c>
      <c r="C5272" t="s">
        <v>579</v>
      </c>
    </row>
    <row r="5273" spans="1:3" x14ac:dyDescent="0.3">
      <c r="A5273" s="426">
        <v>45663</v>
      </c>
      <c r="B5273">
        <v>99537.57</v>
      </c>
      <c r="C5273" t="s">
        <v>579</v>
      </c>
    </row>
    <row r="5274" spans="1:3" x14ac:dyDescent="0.3">
      <c r="A5274" s="426">
        <v>45664</v>
      </c>
      <c r="B5274">
        <v>100918.64</v>
      </c>
      <c r="C5274" t="s">
        <v>579</v>
      </c>
    </row>
    <row r="5275" spans="1:3" x14ac:dyDescent="0.3">
      <c r="A5275" s="426">
        <v>45665</v>
      </c>
      <c r="B5275">
        <v>95408.31</v>
      </c>
      <c r="C5275" t="s">
        <v>579</v>
      </c>
    </row>
    <row r="5276" spans="1:3" x14ac:dyDescent="0.3">
      <c r="A5276" s="426">
        <v>45666</v>
      </c>
      <c r="B5276">
        <v>93456.5</v>
      </c>
      <c r="C5276" t="s">
        <v>579</v>
      </c>
    </row>
    <row r="5277" spans="1:3" x14ac:dyDescent="0.3">
      <c r="A5277" s="426">
        <v>45667</v>
      </c>
      <c r="B5277">
        <v>94676.39</v>
      </c>
      <c r="C5277" t="s">
        <v>579</v>
      </c>
    </row>
    <row r="5278" spans="1:3" x14ac:dyDescent="0.3">
      <c r="A5278" s="426">
        <v>45668</v>
      </c>
      <c r="B5278">
        <v>94354.880000000005</v>
      </c>
      <c r="C5278" t="s">
        <v>579</v>
      </c>
    </row>
    <row r="5279" spans="1:3" x14ac:dyDescent="0.3">
      <c r="A5279" s="426">
        <v>45669</v>
      </c>
      <c r="B5279">
        <v>94501.17</v>
      </c>
      <c r="C5279" t="s">
        <v>579</v>
      </c>
    </row>
    <row r="5280" spans="1:3" x14ac:dyDescent="0.3">
      <c r="A5280" s="426">
        <v>45670</v>
      </c>
      <c r="B5280">
        <v>93090.16</v>
      </c>
      <c r="C5280" t="s">
        <v>579</v>
      </c>
    </row>
    <row r="5281" spans="1:3" x14ac:dyDescent="0.3">
      <c r="A5281" s="426">
        <v>45671</v>
      </c>
      <c r="B5281">
        <v>96286.56</v>
      </c>
      <c r="C5281" t="s">
        <v>579</v>
      </c>
    </row>
    <row r="5282" spans="1:3" x14ac:dyDescent="0.3">
      <c r="A5282" s="426">
        <v>45672</v>
      </c>
      <c r="B5282">
        <v>97385.68</v>
      </c>
      <c r="C5282" t="s">
        <v>579</v>
      </c>
    </row>
    <row r="5283" spans="1:3" x14ac:dyDescent="0.3">
      <c r="A5283" s="426">
        <v>45673</v>
      </c>
      <c r="B5283">
        <v>99560.84</v>
      </c>
      <c r="C5283" t="s">
        <v>579</v>
      </c>
    </row>
    <row r="5284" spans="1:3" x14ac:dyDescent="0.3">
      <c r="A5284" s="426">
        <v>45674</v>
      </c>
      <c r="B5284">
        <v>102442.07</v>
      </c>
      <c r="C5284" t="s">
        <v>579</v>
      </c>
    </row>
    <row r="5285" spans="1:3" x14ac:dyDescent="0.3">
      <c r="A5285" s="426">
        <v>45675</v>
      </c>
      <c r="B5285">
        <v>103881.62</v>
      </c>
      <c r="C5285" t="s">
        <v>579</v>
      </c>
    </row>
    <row r="5286" spans="1:3" x14ac:dyDescent="0.3">
      <c r="A5286" s="426">
        <v>45676</v>
      </c>
      <c r="B5286">
        <v>104813.78</v>
      </c>
      <c r="C5286" t="s">
        <v>579</v>
      </c>
    </row>
    <row r="5287" spans="1:3" x14ac:dyDescent="0.3">
      <c r="A5287" s="426">
        <v>45677</v>
      </c>
      <c r="B5287">
        <v>104120.66</v>
      </c>
      <c r="C5287" t="s">
        <v>579</v>
      </c>
    </row>
    <row r="5288" spans="1:3" x14ac:dyDescent="0.3">
      <c r="A5288" s="426">
        <v>45678</v>
      </c>
      <c r="B5288">
        <v>103586.52</v>
      </c>
      <c r="C5288" t="s">
        <v>579</v>
      </c>
    </row>
    <row r="5289" spans="1:3" x14ac:dyDescent="0.3">
      <c r="A5289" s="426">
        <v>45679</v>
      </c>
      <c r="B5289">
        <v>104940.97</v>
      </c>
      <c r="C5289" t="s">
        <v>579</v>
      </c>
    </row>
    <row r="5290" spans="1:3" x14ac:dyDescent="0.3">
      <c r="A5290" s="426">
        <v>45680</v>
      </c>
      <c r="B5290">
        <v>102839.57</v>
      </c>
      <c r="C5290" t="s">
        <v>579</v>
      </c>
    </row>
    <row r="5291" spans="1:3" x14ac:dyDescent="0.3">
      <c r="A5291" s="426">
        <v>45681</v>
      </c>
      <c r="B5291">
        <v>105167.57</v>
      </c>
      <c r="C5291" t="s">
        <v>579</v>
      </c>
    </row>
    <row r="5292" spans="1:3" x14ac:dyDescent="0.3">
      <c r="A5292" s="426">
        <v>45682</v>
      </c>
      <c r="B5292">
        <v>104682.49</v>
      </c>
      <c r="C5292" t="s">
        <v>579</v>
      </c>
    </row>
    <row r="5293" spans="1:3" x14ac:dyDescent="0.3">
      <c r="A5293" s="426">
        <v>45683</v>
      </c>
      <c r="B5293">
        <v>104929.21</v>
      </c>
      <c r="C5293" t="s">
        <v>579</v>
      </c>
    </row>
    <row r="5294" spans="1:3" x14ac:dyDescent="0.3">
      <c r="A5294" s="426">
        <v>45684</v>
      </c>
      <c r="B5294">
        <v>100496.56</v>
      </c>
      <c r="C5294" t="s">
        <v>579</v>
      </c>
    </row>
    <row r="5295" spans="1:3" x14ac:dyDescent="0.3">
      <c r="A5295" s="426">
        <v>45685</v>
      </c>
      <c r="B5295">
        <v>102639.67999999999</v>
      </c>
      <c r="C5295" t="s">
        <v>579</v>
      </c>
    </row>
    <row r="5296" spans="1:3" x14ac:dyDescent="0.3">
      <c r="A5296" s="426">
        <v>45686</v>
      </c>
      <c r="B5296">
        <v>102339.63</v>
      </c>
      <c r="C5296" t="s">
        <v>579</v>
      </c>
    </row>
    <row r="5297" spans="1:3" x14ac:dyDescent="0.3">
      <c r="A5297" s="426">
        <v>45687</v>
      </c>
      <c r="B5297">
        <v>105187.81</v>
      </c>
      <c r="C5297" t="s">
        <v>579</v>
      </c>
    </row>
    <row r="5298" spans="1:3" x14ac:dyDescent="0.3">
      <c r="A5298" s="426">
        <v>45688</v>
      </c>
      <c r="B5298">
        <v>104394.45</v>
      </c>
      <c r="C5298" t="s">
        <v>579</v>
      </c>
    </row>
    <row r="5299" spans="1:3" x14ac:dyDescent="0.3">
      <c r="A5299" s="426">
        <v>45689</v>
      </c>
      <c r="B5299">
        <v>102079.84</v>
      </c>
      <c r="C5299" t="s">
        <v>579</v>
      </c>
    </row>
    <row r="5300" spans="1:3" x14ac:dyDescent="0.3">
      <c r="A5300" s="426">
        <v>45690</v>
      </c>
      <c r="B5300">
        <v>99202.15</v>
      </c>
      <c r="C5300" t="s">
        <v>579</v>
      </c>
    </row>
    <row r="5301" spans="1:3" x14ac:dyDescent="0.3">
      <c r="A5301" s="426">
        <v>45691</v>
      </c>
      <c r="B5301">
        <v>95582.62</v>
      </c>
      <c r="C5301" t="s">
        <v>579</v>
      </c>
    </row>
    <row r="5302" spans="1:3" x14ac:dyDescent="0.3">
      <c r="A5302" s="426">
        <v>45692</v>
      </c>
      <c r="B5302">
        <v>99218.559999999998</v>
      </c>
      <c r="C5302" t="s">
        <v>579</v>
      </c>
    </row>
    <row r="5303" spans="1:3" x14ac:dyDescent="0.3">
      <c r="A5303" s="426">
        <v>45693</v>
      </c>
      <c r="B5303">
        <v>97884.77</v>
      </c>
      <c r="C5303" t="s">
        <v>579</v>
      </c>
    </row>
    <row r="5304" spans="1:3" x14ac:dyDescent="0.3">
      <c r="A5304" s="426">
        <v>45694</v>
      </c>
      <c r="B5304">
        <v>97387.22</v>
      </c>
      <c r="C5304" t="s">
        <v>579</v>
      </c>
    </row>
    <row r="5305" spans="1:3" x14ac:dyDescent="0.3">
      <c r="A5305" s="426">
        <v>45695</v>
      </c>
      <c r="B5305">
        <v>97447.39</v>
      </c>
      <c r="C5305" t="s">
        <v>579</v>
      </c>
    </row>
    <row r="5306" spans="1:3" x14ac:dyDescent="0.3">
      <c r="A5306" s="426">
        <v>45696</v>
      </c>
      <c r="B5306">
        <v>96292.91</v>
      </c>
      <c r="C5306" t="s">
        <v>579</v>
      </c>
    </row>
    <row r="5307" spans="1:3" x14ac:dyDescent="0.3">
      <c r="A5307" s="426">
        <v>45697</v>
      </c>
      <c r="B5307">
        <v>96583.59</v>
      </c>
      <c r="C5307" t="s">
        <v>579</v>
      </c>
    </row>
    <row r="5308" spans="1:3" x14ac:dyDescent="0.3">
      <c r="A5308" s="426">
        <v>45698</v>
      </c>
      <c r="B5308">
        <v>97362.62</v>
      </c>
      <c r="C5308" t="s">
        <v>579</v>
      </c>
    </row>
    <row r="5309" spans="1:3" x14ac:dyDescent="0.3">
      <c r="A5309" s="426">
        <v>45699</v>
      </c>
      <c r="B5309">
        <v>97710.34</v>
      </c>
      <c r="C5309" t="s">
        <v>579</v>
      </c>
    </row>
    <row r="5310" spans="1:3" x14ac:dyDescent="0.3">
      <c r="A5310" s="426">
        <v>45700</v>
      </c>
      <c r="B5310">
        <v>96090.08</v>
      </c>
      <c r="C5310" t="s">
        <v>579</v>
      </c>
    </row>
    <row r="5311" spans="1:3" x14ac:dyDescent="0.3">
      <c r="A5311" s="426">
        <v>45701</v>
      </c>
      <c r="B5311">
        <v>96158.83</v>
      </c>
      <c r="C5311" t="s">
        <v>579</v>
      </c>
    </row>
    <row r="5312" spans="1:3" x14ac:dyDescent="0.3">
      <c r="A5312" s="426">
        <v>45702</v>
      </c>
      <c r="B5312">
        <v>96987.06</v>
      </c>
      <c r="C5312" t="s">
        <v>579</v>
      </c>
    </row>
    <row r="5313" spans="1:3" x14ac:dyDescent="0.3">
      <c r="A5313" s="426">
        <v>45703</v>
      </c>
      <c r="B5313">
        <v>97596.74</v>
      </c>
      <c r="C5313" t="s">
        <v>579</v>
      </c>
    </row>
    <row r="5314" spans="1:3" x14ac:dyDescent="0.3">
      <c r="A5314" s="426">
        <v>45704</v>
      </c>
      <c r="B5314">
        <v>97189.69</v>
      </c>
      <c r="C5314" t="s">
        <v>579</v>
      </c>
    </row>
    <row r="5315" spans="1:3" x14ac:dyDescent="0.3">
      <c r="A5315" s="426">
        <v>45705</v>
      </c>
      <c r="B5315">
        <v>96156.74</v>
      </c>
      <c r="C5315" t="s">
        <v>579</v>
      </c>
    </row>
    <row r="5316" spans="1:3" x14ac:dyDescent="0.3">
      <c r="A5316" s="426">
        <v>45706</v>
      </c>
      <c r="B5316">
        <v>95567.78</v>
      </c>
      <c r="C5316" t="s">
        <v>579</v>
      </c>
    </row>
    <row r="5317" spans="1:3" x14ac:dyDescent="0.3">
      <c r="A5317" s="426">
        <v>45707</v>
      </c>
      <c r="B5317">
        <v>96035.79</v>
      </c>
      <c r="C5317" t="s">
        <v>579</v>
      </c>
    </row>
    <row r="5318" spans="1:3" x14ac:dyDescent="0.3">
      <c r="A5318" s="426">
        <v>45708</v>
      </c>
      <c r="B5318">
        <v>97253.32</v>
      </c>
      <c r="C5318" t="s">
        <v>579</v>
      </c>
    </row>
    <row r="5319" spans="1:3" x14ac:dyDescent="0.3">
      <c r="A5319" s="426">
        <v>45709</v>
      </c>
      <c r="B5319">
        <v>98245.67</v>
      </c>
      <c r="C5319" t="s">
        <v>579</v>
      </c>
    </row>
    <row r="5320" spans="1:3" x14ac:dyDescent="0.3">
      <c r="A5320" s="426">
        <v>45710</v>
      </c>
      <c r="B5320">
        <v>96545.9</v>
      </c>
      <c r="C5320" t="s">
        <v>579</v>
      </c>
    </row>
    <row r="5321" spans="1:3" x14ac:dyDescent="0.3">
      <c r="A5321" s="426">
        <v>45711</v>
      </c>
      <c r="B5321">
        <v>96170.07</v>
      </c>
      <c r="C5321" t="s">
        <v>579</v>
      </c>
    </row>
    <row r="5322" spans="1:3" x14ac:dyDescent="0.3">
      <c r="A5322" s="426">
        <v>45712</v>
      </c>
      <c r="B5322">
        <v>95527.71</v>
      </c>
      <c r="C5322" t="s">
        <v>579</v>
      </c>
    </row>
    <row r="5323" spans="1:3" x14ac:dyDescent="0.3">
      <c r="A5323" s="426">
        <v>45713</v>
      </c>
      <c r="B5323">
        <v>88945.47</v>
      </c>
      <c r="C5323" t="s">
        <v>579</v>
      </c>
    </row>
    <row r="5324" spans="1:3" x14ac:dyDescent="0.3">
      <c r="A5324" s="426">
        <v>45714</v>
      </c>
      <c r="B5324">
        <v>88168.42</v>
      </c>
      <c r="C5324" t="s">
        <v>579</v>
      </c>
    </row>
    <row r="5325" spans="1:3" x14ac:dyDescent="0.3">
      <c r="A5325" s="426">
        <v>45715</v>
      </c>
      <c r="B5325">
        <v>85068.1</v>
      </c>
      <c r="C5325" t="s">
        <v>579</v>
      </c>
    </row>
    <row r="5326" spans="1:3" x14ac:dyDescent="0.3">
      <c r="A5326" s="426">
        <v>45716</v>
      </c>
      <c r="B5326">
        <v>81858.2</v>
      </c>
      <c r="C5326" t="s">
        <v>579</v>
      </c>
    </row>
    <row r="5327" spans="1:3" x14ac:dyDescent="0.3">
      <c r="A5327" s="426">
        <v>45717</v>
      </c>
      <c r="B5327">
        <v>85199.31</v>
      </c>
      <c r="C5327" t="s">
        <v>579</v>
      </c>
    </row>
    <row r="5328" spans="1:3" x14ac:dyDescent="0.3">
      <c r="A5328" s="426">
        <v>45718</v>
      </c>
      <c r="B5328">
        <v>86105.36</v>
      </c>
      <c r="C5328" t="s">
        <v>579</v>
      </c>
    </row>
    <row r="5329" spans="1:3" x14ac:dyDescent="0.3">
      <c r="A5329" s="426">
        <v>45719</v>
      </c>
      <c r="B5329">
        <v>91906.48</v>
      </c>
      <c r="C5329" t="s">
        <v>579</v>
      </c>
    </row>
    <row r="5330" spans="1:3" x14ac:dyDescent="0.3">
      <c r="A5330" s="426">
        <v>45720</v>
      </c>
      <c r="B5330">
        <v>83904</v>
      </c>
      <c r="C5330" t="s">
        <v>579</v>
      </c>
    </row>
    <row r="5331" spans="1:3" x14ac:dyDescent="0.3">
      <c r="A5331" s="426">
        <v>45721</v>
      </c>
      <c r="B5331">
        <v>89027.86</v>
      </c>
      <c r="C5331" t="s">
        <v>579</v>
      </c>
    </row>
    <row r="5332" spans="1:3" x14ac:dyDescent="0.3">
      <c r="A5332" s="426">
        <v>45722</v>
      </c>
      <c r="B5332">
        <v>90698.35</v>
      </c>
      <c r="C5332" t="s">
        <v>579</v>
      </c>
    </row>
    <row r="5333" spans="1:3" x14ac:dyDescent="0.3">
      <c r="A5333" s="426">
        <v>45723</v>
      </c>
      <c r="B5333">
        <v>88066.52</v>
      </c>
      <c r="C5333" t="s">
        <v>579</v>
      </c>
    </row>
    <row r="5334" spans="1:3" x14ac:dyDescent="0.3">
      <c r="A5334" s="426">
        <v>45724</v>
      </c>
      <c r="B5334">
        <v>86179.61</v>
      </c>
      <c r="C5334" t="s">
        <v>579</v>
      </c>
    </row>
    <row r="5335" spans="1:3" x14ac:dyDescent="0.3">
      <c r="A5335" s="426">
        <v>45725</v>
      </c>
      <c r="B5335">
        <v>84790.82</v>
      </c>
      <c r="C5335" t="s">
        <v>579</v>
      </c>
    </row>
    <row r="5336" spans="1:3" x14ac:dyDescent="0.3">
      <c r="A5336" s="426">
        <v>45726</v>
      </c>
      <c r="B5336">
        <v>81549.759999999995</v>
      </c>
      <c r="C5336" t="s">
        <v>579</v>
      </c>
    </row>
    <row r="5337" spans="1:3" x14ac:dyDescent="0.3">
      <c r="A5337" s="426">
        <v>45727</v>
      </c>
      <c r="B5337">
        <v>81285.919999999998</v>
      </c>
      <c r="C5337" t="s">
        <v>579</v>
      </c>
    </row>
    <row r="5338" spans="1:3" x14ac:dyDescent="0.3">
      <c r="A5338" s="426">
        <v>45728</v>
      </c>
      <c r="B5338">
        <v>82613.62</v>
      </c>
      <c r="C5338" t="s">
        <v>579</v>
      </c>
    </row>
    <row r="5339" spans="1:3" x14ac:dyDescent="0.3">
      <c r="A5339" s="426">
        <v>45729</v>
      </c>
      <c r="B5339">
        <v>82903.44</v>
      </c>
      <c r="C5339" t="s">
        <v>579</v>
      </c>
    </row>
    <row r="5340" spans="1:3" x14ac:dyDescent="0.3">
      <c r="A5340" s="426">
        <v>45730</v>
      </c>
      <c r="B5340">
        <v>83297.259999999995</v>
      </c>
      <c r="C5340" t="s">
        <v>5349</v>
      </c>
    </row>
    <row r="5341" spans="1:3" x14ac:dyDescent="0.3">
      <c r="A5341" s="426">
        <v>45731</v>
      </c>
      <c r="B5341">
        <v>84320.25</v>
      </c>
      <c r="C5341" t="s">
        <v>5350</v>
      </c>
    </row>
    <row r="5342" spans="1:3" x14ac:dyDescent="0.3">
      <c r="A5342" s="426">
        <v>45732</v>
      </c>
      <c r="B5342">
        <v>83776.77</v>
      </c>
      <c r="C5342" t="s">
        <v>5351</v>
      </c>
    </row>
    <row r="5343" spans="1:3" x14ac:dyDescent="0.3">
      <c r="A5343" s="426">
        <v>45733</v>
      </c>
      <c r="B5343">
        <v>83536.929999999993</v>
      </c>
      <c r="C5343" t="s">
        <v>5352</v>
      </c>
    </row>
    <row r="5344" spans="1:3" x14ac:dyDescent="0.3">
      <c r="A5344" s="426">
        <v>45734</v>
      </c>
      <c r="B5344">
        <v>82687.41</v>
      </c>
      <c r="C5344" t="s">
        <v>5353</v>
      </c>
    </row>
    <row r="5345" spans="1:3" x14ac:dyDescent="0.3">
      <c r="A5345" s="426">
        <v>45735</v>
      </c>
      <c r="B5345">
        <v>83810.5</v>
      </c>
      <c r="C5345" t="s">
        <v>5354</v>
      </c>
    </row>
    <row r="5346" spans="1:3" x14ac:dyDescent="0.3">
      <c r="A5346" s="426">
        <v>45736</v>
      </c>
      <c r="B5346">
        <v>85465.07</v>
      </c>
      <c r="C5346" t="s">
        <v>5355</v>
      </c>
    </row>
    <row r="5347" spans="1:3" x14ac:dyDescent="0.3">
      <c r="A5347" s="426">
        <v>45737</v>
      </c>
      <c r="B5347">
        <v>84111.46</v>
      </c>
      <c r="C5347" t="s">
        <v>5356</v>
      </c>
    </row>
    <row r="5348" spans="1:3" x14ac:dyDescent="0.3">
      <c r="A5348" s="426">
        <v>45738</v>
      </c>
      <c r="B5348">
        <v>84178.84</v>
      </c>
      <c r="C5348" t="s">
        <v>5357</v>
      </c>
    </row>
    <row r="5349" spans="1:3" x14ac:dyDescent="0.3">
      <c r="A5349" s="426">
        <v>45739</v>
      </c>
      <c r="B5349">
        <v>84716.34</v>
      </c>
      <c r="C5349" t="s">
        <v>5358</v>
      </c>
    </row>
    <row r="5350" spans="1:3" x14ac:dyDescent="0.3">
      <c r="A5350" s="426">
        <v>45740</v>
      </c>
      <c r="B5350">
        <v>87420.66</v>
      </c>
      <c r="C5350" t="s">
        <v>5359</v>
      </c>
    </row>
    <row r="5351" spans="1:3" x14ac:dyDescent="0.3">
      <c r="A5351" s="426">
        <v>45741</v>
      </c>
      <c r="B5351">
        <v>87409.06</v>
      </c>
      <c r="C5351" t="s">
        <v>5360</v>
      </c>
    </row>
    <row r="5352" spans="1:3" x14ac:dyDescent="0.3">
      <c r="A5352" s="426">
        <v>45742</v>
      </c>
      <c r="B5352">
        <v>87301.36</v>
      </c>
      <c r="C5352" t="s">
        <v>5361</v>
      </c>
    </row>
    <row r="5353" spans="1:3" x14ac:dyDescent="0.3">
      <c r="A5353" s="426">
        <v>45743</v>
      </c>
      <c r="B5353">
        <v>87325.9</v>
      </c>
      <c r="C5353" t="s">
        <v>5362</v>
      </c>
    </row>
    <row r="5354" spans="1:3" x14ac:dyDescent="0.3">
      <c r="A5354" s="426">
        <v>45744</v>
      </c>
      <c r="B5354">
        <v>85070.39</v>
      </c>
      <c r="C5354" t="s">
        <v>5363</v>
      </c>
    </row>
    <row r="5355" spans="1:3" x14ac:dyDescent="0.3">
      <c r="A5355" s="426">
        <v>45745</v>
      </c>
      <c r="B5355">
        <v>82653.039999999994</v>
      </c>
      <c r="C5355" t="s">
        <v>5364</v>
      </c>
    </row>
    <row r="5356" spans="1:3" x14ac:dyDescent="0.3">
      <c r="A5356" s="426">
        <v>45746</v>
      </c>
      <c r="B5356">
        <v>82907.81</v>
      </c>
      <c r="C5356" t="s">
        <v>5365</v>
      </c>
    </row>
    <row r="5357" spans="1:3" x14ac:dyDescent="0.3">
      <c r="A5357" s="426">
        <v>45747</v>
      </c>
      <c r="B5357">
        <v>82247.31</v>
      </c>
      <c r="C5357" t="s">
        <v>5366</v>
      </c>
    </row>
    <row r="5358" spans="1:3" x14ac:dyDescent="0.3">
      <c r="A5358" s="426">
        <v>45748</v>
      </c>
      <c r="B5358">
        <v>84112.79</v>
      </c>
      <c r="C5358" t="s">
        <v>5367</v>
      </c>
    </row>
    <row r="5359" spans="1:3" x14ac:dyDescent="0.3">
      <c r="A5359" s="426">
        <v>45749</v>
      </c>
      <c r="B5359">
        <v>84848.22</v>
      </c>
      <c r="C5359" t="s">
        <v>5368</v>
      </c>
    </row>
    <row r="5360" spans="1:3" x14ac:dyDescent="0.3">
      <c r="A5360" s="426">
        <v>45750</v>
      </c>
      <c r="B5360">
        <v>83040.899999999994</v>
      </c>
      <c r="C5360" t="s">
        <v>5369</v>
      </c>
    </row>
    <row r="5361" spans="1:3" x14ac:dyDescent="0.3">
      <c r="A5361" s="426">
        <v>45751</v>
      </c>
      <c r="B5361">
        <v>83223.72</v>
      </c>
      <c r="C5361" t="s">
        <v>5370</v>
      </c>
    </row>
    <row r="5362" spans="1:3" x14ac:dyDescent="0.3">
      <c r="A5362" s="426">
        <v>45752</v>
      </c>
      <c r="B5362">
        <v>83424.53</v>
      </c>
      <c r="C5362" t="s">
        <v>5371</v>
      </c>
    </row>
    <row r="5363" spans="1:3" x14ac:dyDescent="0.3">
      <c r="A5363" s="426">
        <v>45753</v>
      </c>
      <c r="B5363">
        <v>82768.78</v>
      </c>
      <c r="C5363" t="s">
        <v>5372</v>
      </c>
    </row>
    <row r="5364" spans="1:3" x14ac:dyDescent="0.3">
      <c r="A5364" s="426">
        <v>45754</v>
      </c>
      <c r="B5364">
        <v>78197.19</v>
      </c>
      <c r="C5364" t="s">
        <v>5373</v>
      </c>
    </row>
    <row r="5365" spans="1:3" x14ac:dyDescent="0.3">
      <c r="A5365" s="426">
        <v>45755</v>
      </c>
      <c r="B5365">
        <v>79061.53</v>
      </c>
      <c r="C5365" t="s">
        <v>5374</v>
      </c>
    </row>
    <row r="5366" spans="1:3" x14ac:dyDescent="0.3">
      <c r="A5366" s="426">
        <v>45756</v>
      </c>
      <c r="B5366">
        <v>77338.820000000007</v>
      </c>
      <c r="C5366" t="s">
        <v>5375</v>
      </c>
    </row>
    <row r="5367" spans="1:3" x14ac:dyDescent="0.3">
      <c r="A5367" s="426">
        <v>45757</v>
      </c>
      <c r="B5367">
        <v>81588.37</v>
      </c>
      <c r="C5367" t="s">
        <v>5376</v>
      </c>
    </row>
    <row r="5368" spans="1:3" x14ac:dyDescent="0.3">
      <c r="A5368" s="426">
        <v>45758</v>
      </c>
      <c r="B5368">
        <v>82134.59</v>
      </c>
      <c r="C5368" t="s">
        <v>5377</v>
      </c>
    </row>
    <row r="5369" spans="1:3" x14ac:dyDescent="0.3">
      <c r="A5369" s="426">
        <v>45759</v>
      </c>
      <c r="B5369">
        <v>83717.440000000002</v>
      </c>
      <c r="C5369" t="s">
        <v>5378</v>
      </c>
    </row>
    <row r="5370" spans="1:3" x14ac:dyDescent="0.3">
      <c r="A5370" s="426">
        <v>45760</v>
      </c>
      <c r="B5370">
        <v>84484.65</v>
      </c>
      <c r="C5370" t="s">
        <v>5379</v>
      </c>
    </row>
    <row r="5371" spans="1:3" x14ac:dyDescent="0.3">
      <c r="A5371" s="426">
        <v>45761</v>
      </c>
      <c r="B5371">
        <v>84659.67</v>
      </c>
      <c r="C5371" t="s">
        <v>5380</v>
      </c>
    </row>
    <row r="5372" spans="1:3" x14ac:dyDescent="0.3">
      <c r="A5372" s="426">
        <v>45762</v>
      </c>
      <c r="B5372">
        <v>85171.34</v>
      </c>
      <c r="C5372" t="s">
        <v>5381</v>
      </c>
    </row>
    <row r="5373" spans="1:3" x14ac:dyDescent="0.3">
      <c r="A5373" s="426">
        <v>45763</v>
      </c>
      <c r="B5373">
        <v>83872.63</v>
      </c>
      <c r="C5373" t="s">
        <v>5382</v>
      </c>
    </row>
    <row r="5374" spans="1:3" x14ac:dyDescent="0.3">
      <c r="A5374" s="426">
        <v>45764</v>
      </c>
      <c r="B5374">
        <v>84582.17</v>
      </c>
      <c r="C5374" t="s">
        <v>5383</v>
      </c>
    </row>
    <row r="5375" spans="1:3" x14ac:dyDescent="0.3">
      <c r="A5375" s="426">
        <v>45765</v>
      </c>
      <c r="B5375">
        <v>84593.600000000006</v>
      </c>
      <c r="C5375" t="s">
        <v>5384</v>
      </c>
    </row>
    <row r="5376" spans="1:3" x14ac:dyDescent="0.3">
      <c r="A5376" s="426">
        <v>45766</v>
      </c>
      <c r="B5376">
        <v>85167.1</v>
      </c>
      <c r="C5376" t="s">
        <v>5385</v>
      </c>
    </row>
    <row r="5377" spans="1:3" x14ac:dyDescent="0.3">
      <c r="A5377" s="426">
        <v>45767</v>
      </c>
      <c r="B5377">
        <v>84710.2</v>
      </c>
      <c r="C5377" t="s">
        <v>5386</v>
      </c>
    </row>
    <row r="5378" spans="1:3" x14ac:dyDescent="0.3">
      <c r="A5378" s="426">
        <v>45768</v>
      </c>
      <c r="B5378">
        <v>87316.26</v>
      </c>
      <c r="C5378" t="s">
        <v>5387</v>
      </c>
    </row>
    <row r="5379" spans="1:3" x14ac:dyDescent="0.3">
      <c r="A5379" s="426">
        <v>45769</v>
      </c>
      <c r="B5379">
        <v>88746.62</v>
      </c>
      <c r="C5379" t="s">
        <v>5388</v>
      </c>
    </row>
    <row r="5380" spans="1:3" x14ac:dyDescent="0.3">
      <c r="A5380" s="426">
        <v>45770</v>
      </c>
      <c r="B5380">
        <v>93665.4</v>
      </c>
      <c r="C5380" t="s">
        <v>5389</v>
      </c>
    </row>
    <row r="5381" spans="1:3" x14ac:dyDescent="0.3">
      <c r="A5381" s="426">
        <v>45771</v>
      </c>
      <c r="B5381">
        <v>93094.26</v>
      </c>
      <c r="C5381" t="s">
        <v>5390</v>
      </c>
    </row>
    <row r="5382" spans="1:3" x14ac:dyDescent="0.3">
      <c r="A5382" s="426">
        <v>45772</v>
      </c>
      <c r="B5382">
        <v>94497.06</v>
      </c>
      <c r="C5382" t="s">
        <v>5391</v>
      </c>
    </row>
    <row r="5383" spans="1:3" x14ac:dyDescent="0.3">
      <c r="A5383" s="426">
        <v>45773</v>
      </c>
      <c r="B5383">
        <v>94379</v>
      </c>
      <c r="C5383" t="s">
        <v>5392</v>
      </c>
    </row>
    <row r="5384" spans="1:3" x14ac:dyDescent="0.3">
      <c r="A5384" s="426">
        <v>45774</v>
      </c>
      <c r="B5384">
        <v>94105.1</v>
      </c>
      <c r="C5384" t="s">
        <v>5393</v>
      </c>
    </row>
    <row r="5385" spans="1:3" x14ac:dyDescent="0.3">
      <c r="A5385" s="426">
        <v>45775</v>
      </c>
      <c r="B5385">
        <v>94516.52</v>
      </c>
      <c r="C5385" t="s">
        <v>5394</v>
      </c>
    </row>
    <row r="5386" spans="1:3" x14ac:dyDescent="0.3">
      <c r="A5386" s="426">
        <v>45776</v>
      </c>
      <c r="B5386">
        <v>94935.01</v>
      </c>
      <c r="C5386" t="s">
        <v>5395</v>
      </c>
    </row>
    <row r="5387" spans="1:3" x14ac:dyDescent="0.3">
      <c r="A5387" s="426">
        <v>45777</v>
      </c>
      <c r="B5387">
        <v>94594.54</v>
      </c>
      <c r="C5387" t="s">
        <v>5396</v>
      </c>
    </row>
    <row r="5388" spans="1:3" x14ac:dyDescent="0.3">
      <c r="A5388" s="426">
        <v>45778</v>
      </c>
      <c r="B5388">
        <v>96262.89</v>
      </c>
      <c r="C5388" t="s">
        <v>5397</v>
      </c>
    </row>
    <row r="5389" spans="1:3" x14ac:dyDescent="0.3">
      <c r="A5389" s="426">
        <v>45779</v>
      </c>
      <c r="B5389">
        <v>96987.22</v>
      </c>
      <c r="C5389" t="s">
        <v>5398</v>
      </c>
    </row>
    <row r="5390" spans="1:3" x14ac:dyDescent="0.3">
      <c r="A5390" s="426">
        <v>45780</v>
      </c>
      <c r="B5390">
        <v>96324.09</v>
      </c>
      <c r="C5390" t="s">
        <v>5399</v>
      </c>
    </row>
    <row r="5391" spans="1:3" x14ac:dyDescent="0.3">
      <c r="A5391" s="426">
        <v>45781</v>
      </c>
      <c r="B5391">
        <v>95590.56</v>
      </c>
      <c r="C5391" t="s">
        <v>5400</v>
      </c>
    </row>
    <row r="5392" spans="1:3" x14ac:dyDescent="0.3">
      <c r="A5392" s="426">
        <v>45782</v>
      </c>
      <c r="B5392">
        <v>94407.87</v>
      </c>
      <c r="C5392" t="s">
        <v>5401</v>
      </c>
    </row>
    <row r="5393" spans="1:3" x14ac:dyDescent="0.3">
      <c r="A5393" s="426">
        <v>45783</v>
      </c>
      <c r="B5393">
        <v>94438.1</v>
      </c>
      <c r="C5393" t="s">
        <v>5402</v>
      </c>
    </row>
    <row r="5394" spans="1:3" x14ac:dyDescent="0.3">
      <c r="A5394" s="426">
        <v>45784</v>
      </c>
      <c r="B5394">
        <v>96909.33</v>
      </c>
      <c r="C5394" t="s">
        <v>5403</v>
      </c>
    </row>
    <row r="5395" spans="1:3" x14ac:dyDescent="0.3">
      <c r="A5395" s="426">
        <v>45785</v>
      </c>
      <c r="B5395">
        <v>99573.07</v>
      </c>
      <c r="C5395" t="s">
        <v>5404</v>
      </c>
    </row>
    <row r="5396" spans="1:3" x14ac:dyDescent="0.3">
      <c r="A5396" s="426">
        <v>45786</v>
      </c>
      <c r="B5396">
        <v>102967.9</v>
      </c>
      <c r="C5396" t="s">
        <v>5405</v>
      </c>
    </row>
    <row r="5397" spans="1:3" x14ac:dyDescent="0.3">
      <c r="A5397" s="426">
        <v>45787</v>
      </c>
      <c r="B5397">
        <v>103421.68</v>
      </c>
      <c r="C5397" t="s">
        <v>5406</v>
      </c>
    </row>
    <row r="5398" spans="1:3" x14ac:dyDescent="0.3">
      <c r="A5398" s="426">
        <v>45788</v>
      </c>
      <c r="B5398">
        <v>104156.54</v>
      </c>
      <c r="C5398" t="s">
        <v>5407</v>
      </c>
    </row>
    <row r="5399" spans="1:3" x14ac:dyDescent="0.3">
      <c r="A5399" s="426">
        <v>45789</v>
      </c>
      <c r="B5399">
        <v>103933.3</v>
      </c>
      <c r="C5399" t="s">
        <v>5408</v>
      </c>
    </row>
    <row r="5400" spans="1:3" x14ac:dyDescent="0.3">
      <c r="A5400" s="426">
        <v>45790</v>
      </c>
      <c r="B5400">
        <v>103597.58</v>
      </c>
      <c r="C5400" t="s">
        <v>5409</v>
      </c>
    </row>
    <row r="5401" spans="1:3" x14ac:dyDescent="0.3">
      <c r="A5401" s="426">
        <v>45791</v>
      </c>
      <c r="B5401">
        <v>103570</v>
      </c>
      <c r="C5401" t="s">
        <v>5410</v>
      </c>
    </row>
    <row r="5402" spans="1:3" x14ac:dyDescent="0.3">
      <c r="A5402" s="426">
        <v>45792</v>
      </c>
      <c r="B5402">
        <v>102865.59</v>
      </c>
      <c r="C5402" t="s">
        <v>5411</v>
      </c>
    </row>
    <row r="5403" spans="1:3" x14ac:dyDescent="0.3">
      <c r="A5403" s="426">
        <v>45793</v>
      </c>
      <c r="B5403">
        <v>103857.41</v>
      </c>
      <c r="C5403" t="s">
        <v>5412</v>
      </c>
    </row>
    <row r="5404" spans="1:3" x14ac:dyDescent="0.3">
      <c r="A5404" s="426">
        <v>45794</v>
      </c>
      <c r="B5404">
        <v>103183.22</v>
      </c>
      <c r="C5404" t="s">
        <v>5413</v>
      </c>
    </row>
    <row r="5405" spans="1:3" x14ac:dyDescent="0.3">
      <c r="A5405" s="426">
        <v>45795</v>
      </c>
      <c r="B5405">
        <v>103925.91</v>
      </c>
      <c r="C5405" t="s">
        <v>5414</v>
      </c>
    </row>
    <row r="5406" spans="1:3" x14ac:dyDescent="0.3">
      <c r="A5406" s="426">
        <v>45796</v>
      </c>
      <c r="B5406">
        <v>104532.86</v>
      </c>
      <c r="C5406" t="s">
        <v>5415</v>
      </c>
    </row>
    <row r="5407" spans="1:3" x14ac:dyDescent="0.3">
      <c r="A5407" s="426">
        <v>45797</v>
      </c>
      <c r="B5407">
        <v>105731.23</v>
      </c>
      <c r="C5407" t="s">
        <v>5416</v>
      </c>
    </row>
    <row r="5408" spans="1:3" x14ac:dyDescent="0.3">
      <c r="A5408" s="426">
        <v>45798</v>
      </c>
      <c r="B5408">
        <v>107047.77</v>
      </c>
      <c r="C5408" t="s">
        <v>5417</v>
      </c>
    </row>
    <row r="5409" spans="1:3" x14ac:dyDescent="0.3">
      <c r="A5409" s="426">
        <v>45799</v>
      </c>
      <c r="B5409">
        <v>111062.87</v>
      </c>
      <c r="C5409" t="s">
        <v>5418</v>
      </c>
    </row>
    <row r="5410" spans="1:3" x14ac:dyDescent="0.3">
      <c r="A5410" s="426">
        <v>45800</v>
      </c>
      <c r="B5410">
        <v>109755.5</v>
      </c>
      <c r="C5410" t="s">
        <v>5419</v>
      </c>
    </row>
    <row r="5411" spans="1:3" x14ac:dyDescent="0.3">
      <c r="A5411" s="426">
        <v>45801</v>
      </c>
      <c r="B5411">
        <v>108522.95</v>
      </c>
      <c r="C5411" t="s">
        <v>5420</v>
      </c>
    </row>
    <row r="5412" spans="1:3" x14ac:dyDescent="0.3">
      <c r="A5412" s="426">
        <v>45802</v>
      </c>
      <c r="B5412">
        <v>107580.71</v>
      </c>
      <c r="C5412" t="s">
        <v>5421</v>
      </c>
    </row>
    <row r="5413" spans="1:3" x14ac:dyDescent="0.3">
      <c r="A5413" s="426">
        <v>45803</v>
      </c>
      <c r="B5413">
        <v>109605.42</v>
      </c>
      <c r="C5413" t="s">
        <v>5422</v>
      </c>
    </row>
    <row r="5414" spans="1:3" x14ac:dyDescent="0.3">
      <c r="A5414" s="426">
        <v>45804</v>
      </c>
      <c r="B5414">
        <v>109569.96</v>
      </c>
      <c r="C5414" t="s">
        <v>5423</v>
      </c>
    </row>
    <row r="5415" spans="1:3" x14ac:dyDescent="0.3">
      <c r="A5415" s="426">
        <v>45805</v>
      </c>
      <c r="B5415">
        <v>108702.19</v>
      </c>
      <c r="C5415" t="s">
        <v>5424</v>
      </c>
    </row>
    <row r="5416" spans="1:3" x14ac:dyDescent="0.3">
      <c r="A5416" s="426">
        <v>45806</v>
      </c>
      <c r="B5416">
        <v>107855.12</v>
      </c>
      <c r="C5416" t="s">
        <v>5425</v>
      </c>
    </row>
    <row r="5417" spans="1:3" x14ac:dyDescent="0.3">
      <c r="A5417" s="426">
        <v>45807</v>
      </c>
      <c r="B5417">
        <v>105535.02</v>
      </c>
      <c r="C5417" t="s">
        <v>5426</v>
      </c>
    </row>
    <row r="5418" spans="1:3" x14ac:dyDescent="0.3">
      <c r="A5418" s="426">
        <v>45808</v>
      </c>
      <c r="B5418">
        <v>103969.01</v>
      </c>
      <c r="C5418" t="s">
        <v>5427</v>
      </c>
    </row>
    <row r="5419" spans="1:3" x14ac:dyDescent="0.3">
      <c r="A5419" s="426">
        <v>45809</v>
      </c>
      <c r="B5419">
        <v>104524.19</v>
      </c>
      <c r="C5419" t="s">
        <v>5428</v>
      </c>
    </row>
    <row r="5420" spans="1:3" x14ac:dyDescent="0.3">
      <c r="A5420" s="426">
        <v>45810</v>
      </c>
      <c r="B5420">
        <v>104832.04</v>
      </c>
      <c r="C5420" t="s">
        <v>5429</v>
      </c>
    </row>
    <row r="5421" spans="1:3" x14ac:dyDescent="0.3">
      <c r="A5421" s="426">
        <v>45811</v>
      </c>
      <c r="B5421">
        <v>105592.19</v>
      </c>
      <c r="C5421" t="s">
        <v>5430</v>
      </c>
    </row>
    <row r="5422" spans="1:3" x14ac:dyDescent="0.3">
      <c r="A5422" s="426">
        <v>45812</v>
      </c>
      <c r="B5422">
        <v>105376.02</v>
      </c>
      <c r="C5422" t="s">
        <v>5431</v>
      </c>
    </row>
    <row r="5423" spans="1:3" x14ac:dyDescent="0.3">
      <c r="A5423" s="426">
        <v>45813</v>
      </c>
      <c r="B5423">
        <v>104700.69</v>
      </c>
      <c r="C5423" t="s">
        <v>5432</v>
      </c>
    </row>
    <row r="5424" spans="1:3" x14ac:dyDescent="0.3">
      <c r="A5424" s="426">
        <v>45814</v>
      </c>
      <c r="B5424">
        <v>103954.97</v>
      </c>
      <c r="C5424" t="s">
        <v>5433</v>
      </c>
    </row>
    <row r="5425" spans="1:3" x14ac:dyDescent="0.3">
      <c r="A5425" s="426">
        <v>45815</v>
      </c>
      <c r="B5425">
        <v>105345.31</v>
      </c>
      <c r="C5425" t="s">
        <v>5434</v>
      </c>
    </row>
    <row r="5426" spans="1:3" x14ac:dyDescent="0.3">
      <c r="A5426" s="426">
        <v>45816</v>
      </c>
      <c r="B5426">
        <v>105704.13</v>
      </c>
      <c r="C5426" t="s">
        <v>5435</v>
      </c>
    </row>
    <row r="5427" spans="1:3" x14ac:dyDescent="0.3">
      <c r="A5427" s="426">
        <v>45817</v>
      </c>
      <c r="B5427">
        <v>107600.07</v>
      </c>
      <c r="C5427" t="s">
        <v>5436</v>
      </c>
    </row>
    <row r="5428" spans="1:3" x14ac:dyDescent="0.3">
      <c r="A5428" s="426">
        <v>45818</v>
      </c>
      <c r="B5428">
        <v>109505.79</v>
      </c>
      <c r="C5428" t="s">
        <v>5437</v>
      </c>
    </row>
    <row r="5429" spans="1:3" x14ac:dyDescent="0.3">
      <c r="A5429" s="426">
        <v>45819</v>
      </c>
      <c r="B5429">
        <v>109548.38</v>
      </c>
      <c r="C5429" t="s">
        <v>5438</v>
      </c>
    </row>
    <row r="5430" spans="1:3" x14ac:dyDescent="0.3">
      <c r="A5430" s="426">
        <v>45820</v>
      </c>
      <c r="B5430">
        <v>107607.91</v>
      </c>
      <c r="C5430" t="s">
        <v>5439</v>
      </c>
    </row>
    <row r="5431" spans="1:3" x14ac:dyDescent="0.3">
      <c r="A5431" s="426">
        <v>45821</v>
      </c>
      <c r="B5431">
        <v>104925.75</v>
      </c>
      <c r="C5431" t="s">
        <v>5440</v>
      </c>
    </row>
    <row r="5432" spans="1:3" x14ac:dyDescent="0.3">
      <c r="A5432" s="426">
        <v>45822</v>
      </c>
      <c r="B5432">
        <v>105102.9</v>
      </c>
      <c r="C5432" t="s">
        <v>5441</v>
      </c>
    </row>
    <row r="5433" spans="1:3" x14ac:dyDescent="0.3">
      <c r="A5433" s="426">
        <v>45823</v>
      </c>
      <c r="B5433">
        <v>105501.52</v>
      </c>
      <c r="C5433" t="s">
        <v>5442</v>
      </c>
    </row>
    <row r="5434" spans="1:3" x14ac:dyDescent="0.3">
      <c r="A5434" s="426">
        <v>45824</v>
      </c>
      <c r="B5434">
        <v>107001.82</v>
      </c>
      <c r="C5434" t="s">
        <v>5443</v>
      </c>
    </row>
    <row r="5435" spans="1:3" x14ac:dyDescent="0.3">
      <c r="A5435" s="426">
        <v>45825</v>
      </c>
      <c r="B5435">
        <v>105674.62</v>
      </c>
      <c r="C5435" t="s">
        <v>5444</v>
      </c>
    </row>
    <row r="5436" spans="1:3" x14ac:dyDescent="0.3">
      <c r="A5436" s="426">
        <v>45826</v>
      </c>
      <c r="B5436">
        <v>104848.61</v>
      </c>
      <c r="C5436" t="s">
        <v>5445</v>
      </c>
    </row>
    <row r="5437" spans="1:3" x14ac:dyDescent="0.3">
      <c r="A5437" s="426">
        <v>45827</v>
      </c>
      <c r="B5437">
        <v>104710.82</v>
      </c>
      <c r="C5437" t="s">
        <v>5446</v>
      </c>
    </row>
    <row r="5438" spans="1:3" x14ac:dyDescent="0.3">
      <c r="A5438" s="426">
        <v>45828</v>
      </c>
      <c r="B5438">
        <v>104597.98</v>
      </c>
      <c r="C5438" t="s">
        <v>5447</v>
      </c>
    </row>
    <row r="5439" spans="1:3" x14ac:dyDescent="0.3">
      <c r="A5439" s="426">
        <v>45829</v>
      </c>
      <c r="B5439">
        <v>103487.34</v>
      </c>
      <c r="C5439" t="s">
        <v>5448</v>
      </c>
    </row>
    <row r="5440" spans="1:3" x14ac:dyDescent="0.3">
      <c r="A5440" s="426">
        <v>45830</v>
      </c>
      <c r="B5440">
        <v>102227.73</v>
      </c>
      <c r="C5440" t="s">
        <v>5449</v>
      </c>
    </row>
    <row r="5441" spans="1:3" x14ac:dyDescent="0.3">
      <c r="A5441" s="426">
        <v>45831</v>
      </c>
      <c r="B5441">
        <v>101697.26</v>
      </c>
      <c r="C5441" t="s">
        <v>5450</v>
      </c>
    </row>
    <row r="5442" spans="1:3" x14ac:dyDescent="0.3">
      <c r="A5442" s="426">
        <v>45832</v>
      </c>
      <c r="B5442">
        <v>105455.71</v>
      </c>
      <c r="C5442" t="s">
        <v>5451</v>
      </c>
    </row>
    <row r="5443" spans="1:3" x14ac:dyDescent="0.3">
      <c r="A5443" s="426">
        <v>45833</v>
      </c>
      <c r="B5443">
        <v>107120.86</v>
      </c>
      <c r="C5443" t="s">
        <v>5452</v>
      </c>
    </row>
    <row r="5444" spans="1:3" x14ac:dyDescent="0.3">
      <c r="A5444" s="426">
        <v>45834</v>
      </c>
      <c r="B5444">
        <v>107407.88</v>
      </c>
      <c r="C5444" t="s">
        <v>5453</v>
      </c>
    </row>
    <row r="5445" spans="1:3" x14ac:dyDescent="0.3">
      <c r="A5445" s="426">
        <v>45835</v>
      </c>
      <c r="B5445">
        <v>107091.72</v>
      </c>
      <c r="C5445" t="s">
        <v>5454</v>
      </c>
    </row>
    <row r="5446" spans="1:3" x14ac:dyDescent="0.3">
      <c r="A5446" s="426">
        <v>45836</v>
      </c>
      <c r="B5446">
        <v>107333.25</v>
      </c>
      <c r="C5446" t="s">
        <v>5455</v>
      </c>
    </row>
    <row r="5447" spans="1:3" x14ac:dyDescent="0.3">
      <c r="A5447" s="426">
        <v>45837</v>
      </c>
      <c r="B5447">
        <v>107552.01</v>
      </c>
      <c r="C5447" t="s">
        <v>5456</v>
      </c>
    </row>
    <row r="5448" spans="1:3" x14ac:dyDescent="0.3">
      <c r="A5448" s="426">
        <v>45838</v>
      </c>
      <c r="B5448">
        <v>107648.04</v>
      </c>
      <c r="C5448" t="s">
        <v>5457</v>
      </c>
    </row>
    <row r="5449" spans="1:3" x14ac:dyDescent="0.3">
      <c r="A5449" s="426">
        <v>45839</v>
      </c>
      <c r="B5449">
        <v>106523.96</v>
      </c>
      <c r="C5449" t="s">
        <v>5458</v>
      </c>
    </row>
    <row r="5450" spans="1:3" x14ac:dyDescent="0.3">
      <c r="A5450" s="426">
        <v>45840</v>
      </c>
      <c r="B5450">
        <v>107768.83</v>
      </c>
      <c r="C5450" t="s">
        <v>5459</v>
      </c>
    </row>
    <row r="5451" spans="1:3" x14ac:dyDescent="0.3">
      <c r="A5451" s="426">
        <v>45841</v>
      </c>
      <c r="B5451">
        <v>109583.16</v>
      </c>
      <c r="C5451" t="s">
        <v>5460</v>
      </c>
    </row>
    <row r="5452" spans="1:3" x14ac:dyDescent="0.3">
      <c r="A5452" s="426">
        <v>45842</v>
      </c>
      <c r="B5452">
        <v>108799.54</v>
      </c>
      <c r="C5452" t="s">
        <v>5461</v>
      </c>
    </row>
    <row r="5453" spans="1:3" x14ac:dyDescent="0.3">
      <c r="A5453" s="426">
        <v>45843</v>
      </c>
      <c r="B5453">
        <v>108155.29</v>
      </c>
      <c r="C5453" t="s">
        <v>5462</v>
      </c>
    </row>
    <row r="5454" spans="1:3" x14ac:dyDescent="0.3">
      <c r="A5454" s="426">
        <v>45844</v>
      </c>
      <c r="B5454">
        <v>108238.18</v>
      </c>
      <c r="C5454" t="s">
        <v>5463</v>
      </c>
    </row>
    <row r="5455" spans="1:3" x14ac:dyDescent="0.3">
      <c r="A5455" s="426">
        <v>45845</v>
      </c>
      <c r="B5455">
        <v>108690.28</v>
      </c>
      <c r="C5455" t="s">
        <v>5464</v>
      </c>
    </row>
    <row r="5456" spans="1:3" x14ac:dyDescent="0.3">
      <c r="A5456" s="426">
        <v>45846</v>
      </c>
      <c r="B5456">
        <v>108506.51</v>
      </c>
      <c r="C5456" t="s">
        <v>5465</v>
      </c>
    </row>
    <row r="5457" spans="1:3" x14ac:dyDescent="0.3">
      <c r="A5457" s="426">
        <v>45847</v>
      </c>
      <c r="B5457">
        <v>109066.34</v>
      </c>
      <c r="C5457" t="s">
        <v>5466</v>
      </c>
    </row>
    <row r="5458" spans="1:3" x14ac:dyDescent="0.3">
      <c r="A5458" s="426">
        <v>45848</v>
      </c>
      <c r="B5458">
        <v>111302.02</v>
      </c>
      <c r="C5458" t="s">
        <v>5467</v>
      </c>
    </row>
    <row r="5459" spans="1:3" x14ac:dyDescent="0.3">
      <c r="A5459" s="426">
        <v>45849</v>
      </c>
      <c r="B5459">
        <v>117683.52</v>
      </c>
      <c r="C5459" t="s">
        <v>5468</v>
      </c>
    </row>
    <row r="5460" spans="1:3" x14ac:dyDescent="0.3">
      <c r="A5460" s="426">
        <v>45850</v>
      </c>
      <c r="B5460">
        <v>117635.6</v>
      </c>
      <c r="C5460" t="s">
        <v>5469</v>
      </c>
    </row>
    <row r="5461" spans="1:3" x14ac:dyDescent="0.3">
      <c r="A5461" s="426">
        <v>45851</v>
      </c>
      <c r="B5461">
        <v>118223.74</v>
      </c>
      <c r="C5461" t="s">
        <v>5470</v>
      </c>
    </row>
    <row r="5462" spans="1:3" x14ac:dyDescent="0.3">
      <c r="A5462" s="426">
        <v>45852</v>
      </c>
      <c r="B5462">
        <v>120399.33</v>
      </c>
      <c r="C5462" t="s">
        <v>5471</v>
      </c>
    </row>
    <row r="5463" spans="1:3" x14ac:dyDescent="0.3">
      <c r="A5463" s="426">
        <v>45853</v>
      </c>
      <c r="B5463">
        <v>117140.04</v>
      </c>
      <c r="C5463" t="s">
        <v>5472</v>
      </c>
    </row>
    <row r="5464" spans="1:3" x14ac:dyDescent="0.3">
      <c r="A5464" s="426">
        <v>45854</v>
      </c>
      <c r="B5464">
        <v>118765.26</v>
      </c>
      <c r="C5464" t="s">
        <v>5473</v>
      </c>
    </row>
    <row r="5465" spans="1:3" x14ac:dyDescent="0.3">
      <c r="A5465" s="426">
        <v>45855</v>
      </c>
      <c r="B5465">
        <v>118668.17</v>
      </c>
      <c r="C5465" t="s">
        <v>5474</v>
      </c>
    </row>
    <row r="5466" spans="1:3" x14ac:dyDescent="0.3">
      <c r="A5466" s="426">
        <v>45856</v>
      </c>
      <c r="B5466">
        <v>118937.96</v>
      </c>
      <c r="C5466" t="s">
        <v>5475</v>
      </c>
    </row>
    <row r="5467" spans="1:3" x14ac:dyDescent="0.3">
      <c r="A5467" s="426">
        <v>45857</v>
      </c>
      <c r="B5467">
        <v>118146.12</v>
      </c>
      <c r="C5467" t="s">
        <v>5476</v>
      </c>
    </row>
    <row r="5468" spans="1:3" x14ac:dyDescent="0.3">
      <c r="A5468" s="426">
        <v>45858</v>
      </c>
      <c r="B5468">
        <v>118063.98</v>
      </c>
      <c r="C5468" t="s">
        <v>5477</v>
      </c>
    </row>
    <row r="5469" spans="1:3" x14ac:dyDescent="0.3">
      <c r="A5469" s="426">
        <v>45859</v>
      </c>
      <c r="B5469">
        <v>118228.87</v>
      </c>
      <c r="C5469" t="s">
        <v>5478</v>
      </c>
    </row>
    <row r="5470" spans="1:3" x14ac:dyDescent="0.3">
      <c r="A5470" s="426">
        <v>45860</v>
      </c>
      <c r="B5470">
        <v>118762.5</v>
      </c>
      <c r="C5470" t="s">
        <v>5479</v>
      </c>
    </row>
    <row r="5471" spans="1:3" x14ac:dyDescent="0.3">
      <c r="A5471" s="426">
        <v>45861</v>
      </c>
      <c r="B5471">
        <v>118463.37</v>
      </c>
      <c r="C5471" t="s">
        <v>5480</v>
      </c>
    </row>
    <row r="5472" spans="1:3" x14ac:dyDescent="0.3">
      <c r="A5472" s="426">
        <v>45862</v>
      </c>
      <c r="B5472">
        <v>118702.96</v>
      </c>
      <c r="C5472" t="s">
        <v>5481</v>
      </c>
    </row>
    <row r="5473" spans="1:3" x14ac:dyDescent="0.3">
      <c r="A5473" s="426">
        <v>45863</v>
      </c>
      <c r="B5473">
        <v>116192.91</v>
      </c>
      <c r="C5473" t="s">
        <v>5482</v>
      </c>
    </row>
    <row r="5474" spans="1:3" x14ac:dyDescent="0.3">
      <c r="A5474" s="426">
        <v>45864</v>
      </c>
      <c r="B5474">
        <v>117973.62</v>
      </c>
      <c r="C5474" t="s">
        <v>5483</v>
      </c>
    </row>
    <row r="5475" spans="1:3" x14ac:dyDescent="0.3">
      <c r="A5475" s="426">
        <v>45865</v>
      </c>
      <c r="B5475">
        <v>118312.28</v>
      </c>
      <c r="C5475" t="s">
        <v>5484</v>
      </c>
    </row>
    <row r="5476" spans="1:3" x14ac:dyDescent="0.3">
      <c r="A5476" s="426">
        <v>45866</v>
      </c>
      <c r="B5476">
        <v>118807.05</v>
      </c>
      <c r="C5476" t="s">
        <v>5485</v>
      </c>
    </row>
    <row r="5477" spans="1:3" x14ac:dyDescent="0.3">
      <c r="A5477" s="426">
        <v>45867</v>
      </c>
      <c r="B5477">
        <v>118256.14</v>
      </c>
      <c r="C5477" t="s">
        <v>5486</v>
      </c>
    </row>
    <row r="5478" spans="1:3" x14ac:dyDescent="0.3">
      <c r="A5478" s="426">
        <v>45868</v>
      </c>
      <c r="B5478">
        <v>117826.82</v>
      </c>
      <c r="C5478" t="s">
        <v>5487</v>
      </c>
    </row>
    <row r="5479" spans="1:3" x14ac:dyDescent="0.3">
      <c r="A5479" s="426">
        <v>45869</v>
      </c>
      <c r="B5479">
        <v>118350.62</v>
      </c>
      <c r="C5479" t="s">
        <v>5488</v>
      </c>
    </row>
    <row r="5480" spans="1:3" x14ac:dyDescent="0.3">
      <c r="A5480" s="426">
        <v>45870</v>
      </c>
      <c r="B5480">
        <v>115007.25</v>
      </c>
      <c r="C5480" t="s">
        <v>5489</v>
      </c>
    </row>
    <row r="5481" spans="1:3" x14ac:dyDescent="0.3">
      <c r="A5481" s="426">
        <v>45871</v>
      </c>
      <c r="B5481">
        <v>113561.74</v>
      </c>
      <c r="C5481" t="s">
        <v>5490</v>
      </c>
    </row>
    <row r="5482" spans="1:3" x14ac:dyDescent="0.3">
      <c r="A5482" s="426">
        <v>45872</v>
      </c>
      <c r="B5482">
        <v>113822.6</v>
      </c>
      <c r="C5482" t="s">
        <v>5491</v>
      </c>
    </row>
    <row r="5483" spans="1:3" x14ac:dyDescent="0.3">
      <c r="A5483" s="426">
        <v>45873</v>
      </c>
      <c r="B5483">
        <v>114731.32</v>
      </c>
      <c r="C5483" t="s">
        <v>5492</v>
      </c>
    </row>
    <row r="5484" spans="1:3" x14ac:dyDescent="0.3">
      <c r="A5484" s="426">
        <v>45874</v>
      </c>
      <c r="B5484">
        <v>114246.49</v>
      </c>
      <c r="C5484" t="s">
        <v>5493</v>
      </c>
    </row>
    <row r="5485" spans="1:3" x14ac:dyDescent="0.3">
      <c r="A5485" s="426">
        <v>45875</v>
      </c>
      <c r="B5485">
        <v>114206.18</v>
      </c>
      <c r="C5485" t="s">
        <v>5494</v>
      </c>
    </row>
    <row r="5486" spans="1:3" x14ac:dyDescent="0.3">
      <c r="A5486" s="426">
        <v>45876</v>
      </c>
      <c r="B5486">
        <v>116368.92</v>
      </c>
      <c r="C5486" t="s">
        <v>5495</v>
      </c>
    </row>
    <row r="5487" spans="1:3" x14ac:dyDescent="0.3">
      <c r="A5487" s="426">
        <v>45877</v>
      </c>
      <c r="B5487">
        <v>116744.16</v>
      </c>
      <c r="C5487" t="s">
        <v>5496</v>
      </c>
    </row>
    <row r="5488" spans="1:3" x14ac:dyDescent="0.3">
      <c r="A5488" s="426">
        <v>45878</v>
      </c>
      <c r="B5488">
        <v>116741.5</v>
      </c>
      <c r="C5488" t="s">
        <v>5497</v>
      </c>
    </row>
    <row r="5489" spans="1:3" x14ac:dyDescent="0.3">
      <c r="A5489" s="426">
        <v>45879</v>
      </c>
      <c r="B5489">
        <v>118458.27</v>
      </c>
      <c r="C5489" t="s">
        <v>5498</v>
      </c>
    </row>
    <row r="5490" spans="1:3" x14ac:dyDescent="0.3">
      <c r="A5490" s="426">
        <v>45880</v>
      </c>
      <c r="B5490">
        <v>120184.43</v>
      </c>
      <c r="C5490" t="s">
        <v>5499</v>
      </c>
    </row>
    <row r="5491" spans="1:3" x14ac:dyDescent="0.3">
      <c r="A5491" s="426">
        <v>45881</v>
      </c>
      <c r="B5491">
        <v>119110.65</v>
      </c>
      <c r="C5491" t="s">
        <v>5500</v>
      </c>
    </row>
    <row r="5492" spans="1:3" x14ac:dyDescent="0.3">
      <c r="A5492" s="426">
        <v>45882</v>
      </c>
      <c r="B5492">
        <v>120605.24</v>
      </c>
      <c r="C5492" t="s">
        <v>5501</v>
      </c>
    </row>
    <row r="5493" spans="1:3" x14ac:dyDescent="0.3">
      <c r="A5493" s="426">
        <v>45883</v>
      </c>
      <c r="B5493">
        <v>120912.72</v>
      </c>
      <c r="C5493" t="s">
        <v>5502</v>
      </c>
    </row>
    <row r="5494" spans="1:3" x14ac:dyDescent="0.3">
      <c r="A5494" s="426">
        <v>45884</v>
      </c>
      <c r="B5494">
        <v>118577.78</v>
      </c>
      <c r="C5494" t="s">
        <v>5503</v>
      </c>
    </row>
    <row r="5495" spans="1:3" x14ac:dyDescent="0.3">
      <c r="A5495" s="426">
        <v>45885</v>
      </c>
      <c r="B5495">
        <v>117732.93</v>
      </c>
      <c r="C5495" t="s">
        <v>5504</v>
      </c>
    </row>
    <row r="5496" spans="1:3" x14ac:dyDescent="0.3">
      <c r="A5496" s="426">
        <v>45886</v>
      </c>
      <c r="B5496">
        <v>118031.58</v>
      </c>
      <c r="C5496" t="s">
        <v>5505</v>
      </c>
    </row>
    <row r="5497" spans="1:3" x14ac:dyDescent="0.3">
      <c r="A5497" s="426">
        <v>45887</v>
      </c>
      <c r="B5497">
        <v>115733.72</v>
      </c>
      <c r="C5497" t="s">
        <v>5506</v>
      </c>
    </row>
    <row r="5498" spans="1:3" x14ac:dyDescent="0.3">
      <c r="A5498" s="426">
        <v>45888</v>
      </c>
      <c r="B5498">
        <v>115023.45</v>
      </c>
      <c r="C5498" t="s">
        <v>5507</v>
      </c>
    </row>
    <row r="5499" spans="1:3" x14ac:dyDescent="0.3">
      <c r="A5499" s="426">
        <v>45889</v>
      </c>
      <c r="B5499">
        <v>113688.39</v>
      </c>
      <c r="C5499" t="s">
        <v>5508</v>
      </c>
    </row>
    <row r="5500" spans="1:3" x14ac:dyDescent="0.3">
      <c r="A5500" s="426">
        <v>45890</v>
      </c>
      <c r="B5500">
        <v>113401.71</v>
      </c>
      <c r="C5500" t="s">
        <v>5509</v>
      </c>
    </row>
    <row r="5501" spans="1:3" x14ac:dyDescent="0.3">
      <c r="A5501" s="426">
        <v>45891</v>
      </c>
      <c r="B5501">
        <v>113199.12</v>
      </c>
      <c r="C5501" t="s">
        <v>5510</v>
      </c>
    </row>
    <row r="5502" spans="1:3" x14ac:dyDescent="0.3">
      <c r="A5502" s="426">
        <v>45892</v>
      </c>
      <c r="B5502">
        <v>115378.85</v>
      </c>
      <c r="C5502" t="s">
        <v>5511</v>
      </c>
    </row>
    <row r="5503" spans="1:3" x14ac:dyDescent="0.3">
      <c r="A5503" s="426">
        <v>45893</v>
      </c>
      <c r="B5503">
        <v>114702.04</v>
      </c>
      <c r="C5503" t="s">
        <v>5512</v>
      </c>
    </row>
    <row r="5504" spans="1:3" x14ac:dyDescent="0.3">
      <c r="A5504" s="426">
        <v>45894</v>
      </c>
      <c r="B5504">
        <v>111916.04</v>
      </c>
      <c r="C5504" t="s">
        <v>5513</v>
      </c>
    </row>
    <row r="5505" spans="1:3" x14ac:dyDescent="0.3">
      <c r="A5505" s="426">
        <v>45895</v>
      </c>
      <c r="B5505">
        <v>110139.75</v>
      </c>
      <c r="C5505" t="s">
        <v>5514</v>
      </c>
    </row>
    <row r="5506" spans="1:3" x14ac:dyDescent="0.3">
      <c r="A5506" s="426">
        <v>45896</v>
      </c>
      <c r="B5506">
        <v>111393.3</v>
      </c>
      <c r="C5506" t="s">
        <v>5515</v>
      </c>
    </row>
    <row r="5507" spans="1:3" x14ac:dyDescent="0.3">
      <c r="A5507" s="426">
        <v>45897</v>
      </c>
      <c r="B5507">
        <v>112564.38</v>
      </c>
      <c r="C5507" t="s">
        <v>5516</v>
      </c>
    </row>
    <row r="5508" spans="1:3" x14ac:dyDescent="0.3">
      <c r="A5508" s="426">
        <v>45898</v>
      </c>
      <c r="B5508">
        <v>109912.61</v>
      </c>
      <c r="C5508" t="s">
        <v>5517</v>
      </c>
    </row>
    <row r="5509" spans="1:3" x14ac:dyDescent="0.3">
      <c r="A5509" s="426">
        <v>45899</v>
      </c>
      <c r="B5509">
        <v>108554.33</v>
      </c>
      <c r="C5509" t="s">
        <v>5518</v>
      </c>
    </row>
    <row r="5510" spans="1:3" x14ac:dyDescent="0.3">
      <c r="A5510" s="426">
        <v>45900</v>
      </c>
      <c r="B5510">
        <v>108865.8</v>
      </c>
      <c r="C5510" t="s">
        <v>5519</v>
      </c>
    </row>
    <row r="5511" spans="1:3" x14ac:dyDescent="0.3">
      <c r="A5511" s="426">
        <v>45901</v>
      </c>
      <c r="B5511">
        <v>108739.5</v>
      </c>
      <c r="C5511" t="s">
        <v>5520</v>
      </c>
    </row>
    <row r="5512" spans="1:3" x14ac:dyDescent="0.3">
      <c r="A5512" s="426">
        <v>45902</v>
      </c>
      <c r="B5512">
        <v>110425.78</v>
      </c>
      <c r="C5512" t="s">
        <v>5521</v>
      </c>
    </row>
    <row r="5513" spans="1:3" x14ac:dyDescent="0.3">
      <c r="A5513" s="426">
        <v>45903</v>
      </c>
      <c r="B5513">
        <v>111481.59</v>
      </c>
      <c r="C5513" t="s">
        <v>5522</v>
      </c>
    </row>
    <row r="5514" spans="1:3" x14ac:dyDescent="0.3">
      <c r="A5514" s="426">
        <v>45904</v>
      </c>
      <c r="B5514">
        <v>110723.01</v>
      </c>
      <c r="C5514" t="s">
        <v>5523</v>
      </c>
    </row>
    <row r="5515" spans="1:3" x14ac:dyDescent="0.3">
      <c r="A5515" s="426">
        <v>45905</v>
      </c>
      <c r="B5515">
        <v>111365.73</v>
      </c>
      <c r="C5515" t="s">
        <v>5524</v>
      </c>
    </row>
    <row r="5516" spans="1:3" x14ac:dyDescent="0.3">
      <c r="A5516" s="426">
        <v>45906</v>
      </c>
      <c r="B5516">
        <v>110756.19</v>
      </c>
      <c r="C5516" t="s">
        <v>5525</v>
      </c>
    </row>
    <row r="5517" spans="1:3" x14ac:dyDescent="0.3">
      <c r="A5517" s="426">
        <v>45907</v>
      </c>
      <c r="B5517">
        <v>111105.2</v>
      </c>
      <c r="C5517" t="s">
        <v>5526</v>
      </c>
    </row>
    <row r="5518" spans="1:3" x14ac:dyDescent="0.3">
      <c r="A5518" s="426">
        <v>45908</v>
      </c>
      <c r="B5518">
        <v>112030.54</v>
      </c>
      <c r="C5518" t="s">
        <v>5527</v>
      </c>
    </row>
    <row r="5519" spans="1:3" x14ac:dyDescent="0.3">
      <c r="A5519" s="426">
        <v>45909</v>
      </c>
      <c r="B5519">
        <v>111703.98</v>
      </c>
      <c r="C5519" t="s">
        <v>5528</v>
      </c>
    </row>
    <row r="5520" spans="1:3" x14ac:dyDescent="0.3">
      <c r="A5520" s="426">
        <v>45910</v>
      </c>
      <c r="B5520">
        <v>112712.62</v>
      </c>
      <c r="C5520" t="s">
        <v>5529</v>
      </c>
    </row>
    <row r="5521" spans="1:3" x14ac:dyDescent="0.3">
      <c r="A5521" s="426">
        <v>45911</v>
      </c>
      <c r="B5521">
        <v>114264.06</v>
      </c>
      <c r="C5521" t="s">
        <v>5530</v>
      </c>
    </row>
    <row r="5522" spans="1:3" x14ac:dyDescent="0.3">
      <c r="A5522" s="426">
        <v>45912</v>
      </c>
      <c r="B5522">
        <v>115396.28</v>
      </c>
      <c r="C5522" t="s">
        <v>5531</v>
      </c>
    </row>
    <row r="5523" spans="1:3" x14ac:dyDescent="0.3">
      <c r="A5523" s="426">
        <v>45913</v>
      </c>
      <c r="B5523">
        <v>115931.48</v>
      </c>
      <c r="C5523" t="s">
        <v>5532</v>
      </c>
    </row>
    <row r="5524" spans="1:3" x14ac:dyDescent="0.3">
      <c r="A5524" s="426">
        <v>45914</v>
      </c>
      <c r="B5524">
        <v>115822.6</v>
      </c>
      <c r="C5524" t="s">
        <v>5533</v>
      </c>
    </row>
    <row r="5525" spans="1:3" x14ac:dyDescent="0.3">
      <c r="A5525" s="426">
        <v>45915</v>
      </c>
      <c r="B5525">
        <v>115212.5</v>
      </c>
      <c r="C5525" t="s">
        <v>5534</v>
      </c>
    </row>
    <row r="5526" spans="1:3" x14ac:dyDescent="0.3">
      <c r="A5526" s="426">
        <v>45916</v>
      </c>
      <c r="B5526">
        <v>115725.7</v>
      </c>
      <c r="C5526" t="s">
        <v>5535</v>
      </c>
    </row>
    <row r="5527" spans="1:3" x14ac:dyDescent="0.3">
      <c r="A5527" s="426">
        <v>45917</v>
      </c>
      <c r="B5527">
        <v>116370.35</v>
      </c>
      <c r="C5527" t="s">
        <v>5536</v>
      </c>
    </row>
    <row r="5528" spans="1:3" x14ac:dyDescent="0.3">
      <c r="A5528" s="426">
        <v>45918</v>
      </c>
      <c r="B5528">
        <v>117318.74</v>
      </c>
      <c r="C5528" t="s">
        <v>5537</v>
      </c>
    </row>
    <row r="5529" spans="1:3" x14ac:dyDescent="0.3">
      <c r="A5529" s="426">
        <v>45919</v>
      </c>
      <c r="B5529">
        <v>116430.21</v>
      </c>
      <c r="C5529" t="s">
        <v>5538</v>
      </c>
    </row>
    <row r="5530" spans="1:3" x14ac:dyDescent="0.3">
      <c r="A5530" s="426">
        <v>45920</v>
      </c>
      <c r="B5530">
        <v>115828.84</v>
      </c>
      <c r="C5530" t="s">
        <v>5539</v>
      </c>
    </row>
    <row r="5531" spans="1:3" x14ac:dyDescent="0.3">
      <c r="A5531" s="426">
        <v>45921</v>
      </c>
      <c r="B5531">
        <v>115635.58</v>
      </c>
      <c r="C5531" t="s">
        <v>5540</v>
      </c>
    </row>
    <row r="5532" spans="1:3" x14ac:dyDescent="0.3">
      <c r="A5532" s="426">
        <v>45922</v>
      </c>
      <c r="B5532">
        <v>112886.29</v>
      </c>
      <c r="C5532" t="s">
        <v>5541</v>
      </c>
    </row>
    <row r="5533" spans="1:3" x14ac:dyDescent="0.3">
      <c r="A5533" s="426">
        <v>45923</v>
      </c>
      <c r="B5533">
        <v>112772.08</v>
      </c>
      <c r="C5533" t="s">
        <v>5542</v>
      </c>
    </row>
    <row r="5534" spans="1:3" x14ac:dyDescent="0.3">
      <c r="A5534" s="426">
        <v>45924</v>
      </c>
      <c r="B5534">
        <v>113059.3</v>
      </c>
      <c r="C5534" t="s">
        <v>5543</v>
      </c>
    </row>
    <row r="5535" spans="1:3" x14ac:dyDescent="0.3">
      <c r="A5535" s="426">
        <v>45925</v>
      </c>
      <c r="B5535">
        <v>111609.25</v>
      </c>
      <c r="C5535" t="s">
        <v>5544</v>
      </c>
    </row>
    <row r="5536" spans="1:3" x14ac:dyDescent="0.3">
      <c r="A5536" s="426">
        <v>45926</v>
      </c>
      <c r="B5536">
        <v>109508.29</v>
      </c>
      <c r="C5536" t="s">
        <v>5545</v>
      </c>
    </row>
    <row r="5537" spans="1:3" x14ac:dyDescent="0.3">
      <c r="A5537" s="426">
        <v>45927</v>
      </c>
      <c r="B5537">
        <v>109458.1</v>
      </c>
      <c r="C5537" t="s">
        <v>5546</v>
      </c>
    </row>
    <row r="5538" spans="1:3" x14ac:dyDescent="0.3">
      <c r="A5538" s="426">
        <v>45928</v>
      </c>
      <c r="B5538">
        <v>109559.9</v>
      </c>
      <c r="C5538" t="s">
        <v>5547</v>
      </c>
    </row>
    <row r="5539" spans="1:3" x14ac:dyDescent="0.3">
      <c r="A5539" s="426">
        <v>45929</v>
      </c>
      <c r="B5539">
        <v>112256.06</v>
      </c>
      <c r="C5539" t="s">
        <v>5548</v>
      </c>
    </row>
    <row r="5540" spans="1:3" x14ac:dyDescent="0.3">
      <c r="A5540" s="426">
        <v>45930</v>
      </c>
      <c r="B5540">
        <v>113952.71</v>
      </c>
      <c r="C5540" t="s">
        <v>5549</v>
      </c>
    </row>
    <row r="5541" spans="1:3" x14ac:dyDescent="0.3">
      <c r="A5541" s="426">
        <v>45931</v>
      </c>
      <c r="B5541">
        <v>116631.52</v>
      </c>
      <c r="C5541" t="s">
        <v>5550</v>
      </c>
    </row>
    <row r="5542" spans="1:3" x14ac:dyDescent="0.3">
      <c r="A5542" s="426">
        <v>45932</v>
      </c>
      <c r="B5542">
        <v>119033.36</v>
      </c>
      <c r="C5542" t="s">
        <v>5551</v>
      </c>
    </row>
    <row r="5543" spans="1:3" x14ac:dyDescent="0.3">
      <c r="A5543" s="426">
        <v>45933</v>
      </c>
      <c r="B5543">
        <v>120466.68</v>
      </c>
      <c r="C5543" t="s">
        <v>5552</v>
      </c>
    </row>
    <row r="5544" spans="1:3" x14ac:dyDescent="0.3">
      <c r="A5544" s="426">
        <v>45934</v>
      </c>
      <c r="B5544">
        <v>122238.02</v>
      </c>
      <c r="C5544" t="s">
        <v>5553</v>
      </c>
    </row>
    <row r="5545" spans="1:3" x14ac:dyDescent="0.3">
      <c r="A5545" s="426">
        <v>45935</v>
      </c>
      <c r="B5545">
        <v>123187.9</v>
      </c>
      <c r="C5545" t="s">
        <v>5554</v>
      </c>
    </row>
    <row r="5546" spans="1:3" x14ac:dyDescent="0.3">
      <c r="A5546" s="426">
        <v>45936</v>
      </c>
      <c r="B5546">
        <v>124505.88</v>
      </c>
      <c r="C5546" t="s">
        <v>5555</v>
      </c>
    </row>
    <row r="5547" spans="1:3" x14ac:dyDescent="0.3">
      <c r="A5547" s="426">
        <v>45937</v>
      </c>
      <c r="B5547">
        <v>123977.23</v>
      </c>
      <c r="C5547" t="s">
        <v>5556</v>
      </c>
    </row>
    <row r="5548" spans="1:3" x14ac:dyDescent="0.3">
      <c r="A5548" s="426">
        <v>45938</v>
      </c>
      <c r="B5548">
        <v>122594.26</v>
      </c>
      <c r="C5548" t="s">
        <v>5557</v>
      </c>
    </row>
    <row r="5549" spans="1:3" x14ac:dyDescent="0.3">
      <c r="A5549" s="426">
        <v>45939</v>
      </c>
      <c r="B5549">
        <v>121772.14</v>
      </c>
      <c r="C5549" t="s">
        <v>5558</v>
      </c>
    </row>
    <row r="5550" spans="1:3" x14ac:dyDescent="0.3">
      <c r="A5550" s="426">
        <v>45940</v>
      </c>
      <c r="B5550">
        <v>121331.57</v>
      </c>
      <c r="C5550" t="s">
        <v>5559</v>
      </c>
    </row>
    <row r="5551" spans="1:3" x14ac:dyDescent="0.3">
      <c r="A5551" s="426">
        <v>45941</v>
      </c>
      <c r="B5551">
        <v>112059.98</v>
      </c>
      <c r="C5551" t="s">
        <v>5560</v>
      </c>
    </row>
    <row r="5552" spans="1:3" x14ac:dyDescent="0.3">
      <c r="A5552" s="426">
        <v>45942</v>
      </c>
      <c r="B5552">
        <v>111858.59</v>
      </c>
      <c r="C5552" t="s">
        <v>5561</v>
      </c>
    </row>
    <row r="5553" spans="1:3" x14ac:dyDescent="0.3">
      <c r="A5553" s="426">
        <v>45943</v>
      </c>
      <c r="B5553">
        <v>115261.34</v>
      </c>
      <c r="C5553" t="s">
        <v>5562</v>
      </c>
    </row>
    <row r="5554" spans="1:3" x14ac:dyDescent="0.3">
      <c r="A5554" s="426">
        <v>45944</v>
      </c>
      <c r="B5554">
        <v>112743.29</v>
      </c>
      <c r="C5554" t="s">
        <v>5563</v>
      </c>
    </row>
    <row r="5555" spans="1:3" x14ac:dyDescent="0.3">
      <c r="A5555" s="426">
        <v>45945</v>
      </c>
      <c r="B5555">
        <v>112013.83</v>
      </c>
      <c r="C5555" t="s">
        <v>5564</v>
      </c>
    </row>
    <row r="5556" spans="1:3" x14ac:dyDescent="0.3">
      <c r="A5556" s="426">
        <v>45946</v>
      </c>
      <c r="B5556">
        <v>110835.28</v>
      </c>
      <c r="C5556" t="s">
        <v>5565</v>
      </c>
    </row>
    <row r="5557" spans="1:3" x14ac:dyDescent="0.3">
      <c r="A5557" s="426">
        <v>45947</v>
      </c>
      <c r="B5557">
        <v>106641.65</v>
      </c>
      <c r="C5557" t="s">
        <v>5566</v>
      </c>
    </row>
    <row r="5558" spans="1:3" x14ac:dyDescent="0.3">
      <c r="A5558" s="426">
        <v>45948</v>
      </c>
      <c r="B5558">
        <v>106990.16</v>
      </c>
      <c r="C5558" t="s">
        <v>5567</v>
      </c>
    </row>
    <row r="5559" spans="1:3" x14ac:dyDescent="0.3">
      <c r="A5559" s="426">
        <v>45949</v>
      </c>
      <c r="B5559">
        <v>107798.62</v>
      </c>
      <c r="C5559" t="s">
        <v>5568</v>
      </c>
    </row>
    <row r="5560" spans="1:3" x14ac:dyDescent="0.3">
      <c r="A5560" s="426">
        <v>45950</v>
      </c>
      <c r="B5560">
        <v>110848.13</v>
      </c>
      <c r="C5560" t="s">
        <v>5569</v>
      </c>
    </row>
    <row r="5561" spans="1:3" x14ac:dyDescent="0.3">
      <c r="A5561" s="426">
        <v>45951</v>
      </c>
      <c r="B5561">
        <v>109430.3</v>
      </c>
      <c r="C5561" t="s">
        <v>5570</v>
      </c>
    </row>
    <row r="5562" spans="1:3" x14ac:dyDescent="0.3">
      <c r="A5562" s="426">
        <v>45952</v>
      </c>
      <c r="B5562">
        <v>108089.14</v>
      </c>
      <c r="C5562" t="s">
        <v>5571</v>
      </c>
    </row>
    <row r="5563" spans="1:3" x14ac:dyDescent="0.3">
      <c r="A5563" s="426">
        <v>45953</v>
      </c>
      <c r="B5563">
        <v>109566.41</v>
      </c>
      <c r="C5563" t="s">
        <v>5572</v>
      </c>
    </row>
    <row r="5564" spans="1:3" x14ac:dyDescent="0.3">
      <c r="A5564" s="426">
        <v>45954</v>
      </c>
      <c r="B5564">
        <v>110929.88</v>
      </c>
      <c r="C5564" t="s">
        <v>5573</v>
      </c>
    </row>
    <row r="5565" spans="1:3" x14ac:dyDescent="0.3">
      <c r="A5565" s="426">
        <v>45955</v>
      </c>
      <c r="B5565">
        <v>111496.72</v>
      </c>
      <c r="C5565" t="s">
        <v>5574</v>
      </c>
    </row>
    <row r="5566" spans="1:3" x14ac:dyDescent="0.3">
      <c r="A5566" s="426">
        <v>45956</v>
      </c>
      <c r="B5566">
        <v>113327.42</v>
      </c>
      <c r="C5566" t="s">
        <v>5575</v>
      </c>
    </row>
    <row r="5567" spans="1:3" x14ac:dyDescent="0.3">
      <c r="A5567" s="426">
        <v>45957</v>
      </c>
      <c r="B5567">
        <v>115178.67</v>
      </c>
      <c r="C5567" t="s">
        <v>5576</v>
      </c>
    </row>
    <row r="5568" spans="1:3" x14ac:dyDescent="0.3">
      <c r="A5568" s="426">
        <v>45958</v>
      </c>
      <c r="B5568">
        <v>114216.79</v>
      </c>
      <c r="C5568" t="s">
        <v>5577</v>
      </c>
    </row>
    <row r="5569" spans="1:3" x14ac:dyDescent="0.3">
      <c r="A5569" s="426">
        <v>45959</v>
      </c>
      <c r="B5569">
        <v>112573.66</v>
      </c>
      <c r="C5569" t="s">
        <v>5578</v>
      </c>
    </row>
    <row r="5570" spans="1:3" x14ac:dyDescent="0.3">
      <c r="A5570" s="426">
        <v>45960</v>
      </c>
      <c r="B5570">
        <v>108863.74</v>
      </c>
      <c r="C5570" t="s">
        <v>5579</v>
      </c>
    </row>
    <row r="5571" spans="1:3" x14ac:dyDescent="0.3">
      <c r="A5571" s="426">
        <v>45961</v>
      </c>
      <c r="B5571">
        <v>109602.69</v>
      </c>
      <c r="C5571" t="s">
        <v>5580</v>
      </c>
    </row>
    <row r="5572" spans="1:3" x14ac:dyDescent="0.3">
      <c r="A5572" s="426">
        <v>45962</v>
      </c>
      <c r="B5572">
        <v>110054.24</v>
      </c>
      <c r="C5572" t="s">
        <v>5581</v>
      </c>
    </row>
    <row r="5573" spans="1:3" x14ac:dyDescent="0.3">
      <c r="A5573" s="426">
        <v>45963</v>
      </c>
      <c r="B5573">
        <v>110268.26</v>
      </c>
      <c r="C5573" t="s">
        <v>5582</v>
      </c>
    </row>
    <row r="5574" spans="1:3" x14ac:dyDescent="0.3">
      <c r="A5574" s="426">
        <v>45964</v>
      </c>
      <c r="B5574">
        <v>107505.17</v>
      </c>
      <c r="C5574" t="s">
        <v>5583</v>
      </c>
    </row>
    <row r="5575" spans="1:3" x14ac:dyDescent="0.3">
      <c r="A5575" s="426">
        <v>45965</v>
      </c>
      <c r="B5575">
        <v>103943.55</v>
      </c>
      <c r="C5575" t="s">
        <v>5584</v>
      </c>
    </row>
    <row r="5576" spans="1:3" x14ac:dyDescent="0.3">
      <c r="A5576" s="426">
        <v>45966</v>
      </c>
      <c r="B5576">
        <v>102383.54</v>
      </c>
      <c r="C5576" t="s">
        <v>5585</v>
      </c>
    </row>
    <row r="5577" spans="1:3" x14ac:dyDescent="0.3">
      <c r="A5577" s="426">
        <v>45967</v>
      </c>
      <c r="B5577">
        <v>102914.54</v>
      </c>
      <c r="C5577" t="s">
        <v>5586</v>
      </c>
    </row>
    <row r="5578" spans="1:3" x14ac:dyDescent="0.3">
      <c r="A5578" s="426">
        <v>45968</v>
      </c>
      <c r="B5578">
        <v>101839.1</v>
      </c>
      <c r="C5578" t="s">
        <v>5587</v>
      </c>
    </row>
    <row r="5579" spans="1:3" x14ac:dyDescent="0.3">
      <c r="A5579" s="426">
        <v>45969</v>
      </c>
      <c r="B5579">
        <v>102283.08</v>
      </c>
      <c r="C5579" t="s">
        <v>5588</v>
      </c>
    </row>
    <row r="5580" spans="1:3" x14ac:dyDescent="0.3">
      <c r="A5580" s="426">
        <v>45970</v>
      </c>
      <c r="B5580">
        <v>102204.93</v>
      </c>
      <c r="C5580" t="s">
        <v>5589</v>
      </c>
    </row>
    <row r="5581" spans="1:3" x14ac:dyDescent="0.3">
      <c r="A5581" s="426">
        <v>45971</v>
      </c>
      <c r="B5581">
        <v>105985.63</v>
      </c>
      <c r="C5581" t="s">
        <v>5590</v>
      </c>
    </row>
    <row r="5582" spans="1:3" x14ac:dyDescent="0.3">
      <c r="A5582" s="426">
        <v>45972</v>
      </c>
      <c r="B5582">
        <v>104966.95</v>
      </c>
      <c r="C5582" t="s">
        <v>5591</v>
      </c>
    </row>
    <row r="5583" spans="1:3" x14ac:dyDescent="0.3">
      <c r="A5583" s="426">
        <v>45973</v>
      </c>
      <c r="B5583">
        <v>103262.2</v>
      </c>
      <c r="C5583" t="s">
        <v>5592</v>
      </c>
    </row>
    <row r="5584" spans="1:3" x14ac:dyDescent="0.3">
      <c r="A5584" s="426">
        <v>45974</v>
      </c>
      <c r="B5584">
        <v>102121.86</v>
      </c>
      <c r="C5584" t="s">
        <v>5593</v>
      </c>
    </row>
    <row r="5585" spans="1:3" x14ac:dyDescent="0.3">
      <c r="A5585" s="426">
        <v>45975</v>
      </c>
      <c r="B5585">
        <v>96786.96</v>
      </c>
      <c r="C5585" t="s">
        <v>5594</v>
      </c>
    </row>
    <row r="5586" spans="1:3" x14ac:dyDescent="0.3">
      <c r="A5586" s="426">
        <v>45976</v>
      </c>
      <c r="B5586">
        <v>95938.559999999998</v>
      </c>
      <c r="C5586" t="s">
        <v>5595</v>
      </c>
    </row>
    <row r="5587" spans="1:3" x14ac:dyDescent="0.3">
      <c r="A5587" s="426">
        <v>45977</v>
      </c>
      <c r="B5587">
        <v>95482.42</v>
      </c>
      <c r="C5587" t="s">
        <v>5596</v>
      </c>
    </row>
    <row r="5588" spans="1:3" x14ac:dyDescent="0.3">
      <c r="A5588" s="426">
        <v>45978</v>
      </c>
      <c r="B5588">
        <v>94910.53</v>
      </c>
      <c r="C5588" t="s">
        <v>5597</v>
      </c>
    </row>
    <row r="5589" spans="1:3" x14ac:dyDescent="0.3">
      <c r="A5589" s="426">
        <v>45979</v>
      </c>
      <c r="B5589">
        <v>91516.67</v>
      </c>
      <c r="C5589" t="s">
        <v>5598</v>
      </c>
    </row>
    <row r="5590" spans="1:3" x14ac:dyDescent="0.3">
      <c r="A5590" s="426">
        <v>45980</v>
      </c>
      <c r="B5590">
        <v>91338.85</v>
      </c>
      <c r="C5590" t="s">
        <v>5599</v>
      </c>
    </row>
    <row r="5591" spans="1:3" x14ac:dyDescent="0.3">
      <c r="A5591" s="426">
        <v>45981</v>
      </c>
      <c r="B5591">
        <v>91744.95</v>
      </c>
      <c r="C5591" t="s">
        <v>5600</v>
      </c>
    </row>
    <row r="5592" spans="1:3" x14ac:dyDescent="0.3">
      <c r="A5592" s="426">
        <v>45982</v>
      </c>
      <c r="B5592">
        <v>84795.99</v>
      </c>
      <c r="C5592" t="s">
        <v>5601</v>
      </c>
    </row>
    <row r="5593" spans="1:3" x14ac:dyDescent="0.3">
      <c r="A5593" s="426">
        <v>45983</v>
      </c>
      <c r="B5593">
        <v>84421.45</v>
      </c>
      <c r="C5593" t="s">
        <v>5602</v>
      </c>
    </row>
    <row r="5594" spans="1:3" x14ac:dyDescent="0.3">
      <c r="A5594" s="426">
        <v>45984</v>
      </c>
      <c r="B5594">
        <v>86546.14</v>
      </c>
      <c r="C5594" t="s">
        <v>5603</v>
      </c>
    </row>
    <row r="5595" spans="1:3" x14ac:dyDescent="0.3">
      <c r="A5595" s="426">
        <v>45985</v>
      </c>
      <c r="B5595">
        <v>87000.12</v>
      </c>
      <c r="C5595" t="s">
        <v>5604</v>
      </c>
    </row>
    <row r="5596" spans="1:3" x14ac:dyDescent="0.3">
      <c r="A5596" s="426">
        <v>45986</v>
      </c>
      <c r="B5596">
        <v>87410.3</v>
      </c>
      <c r="C5596" t="s">
        <v>5605</v>
      </c>
    </row>
    <row r="5597" spans="1:3" x14ac:dyDescent="0.3">
      <c r="A5597" s="426">
        <v>45987</v>
      </c>
      <c r="B5597">
        <v>87607.66</v>
      </c>
      <c r="C5597" t="s">
        <v>5606</v>
      </c>
    </row>
    <row r="5598" spans="1:3" x14ac:dyDescent="0.3">
      <c r="A5598" s="426">
        <v>45988</v>
      </c>
      <c r="B5598">
        <v>91395.1</v>
      </c>
      <c r="C5598" t="s">
        <v>5607</v>
      </c>
    </row>
    <row r="5599" spans="1:3" x14ac:dyDescent="0.3">
      <c r="A5599" s="426">
        <v>45989</v>
      </c>
      <c r="B5599">
        <v>91209.79</v>
      </c>
      <c r="C5599" t="s">
        <v>5608</v>
      </c>
    </row>
    <row r="5600" spans="1:3" x14ac:dyDescent="0.3">
      <c r="A5600" s="426">
        <v>45990</v>
      </c>
      <c r="B5600">
        <v>90737.25</v>
      </c>
      <c r="C5600" t="s">
        <v>5609</v>
      </c>
    </row>
    <row r="5601" spans="1:3" x14ac:dyDescent="0.3">
      <c r="A5601" s="426">
        <v>45991</v>
      </c>
      <c r="B5601">
        <v>91253.08</v>
      </c>
      <c r="C5601" t="s">
        <v>5610</v>
      </c>
    </row>
    <row r="5602" spans="1:3" x14ac:dyDescent="0.3">
      <c r="A5602" s="426">
        <v>45992</v>
      </c>
      <c r="B5602">
        <v>86271.86</v>
      </c>
      <c r="C5602" t="s">
        <v>5611</v>
      </c>
    </row>
    <row r="5603" spans="1:3" x14ac:dyDescent="0.3">
      <c r="A5603" s="426">
        <v>45993</v>
      </c>
      <c r="B5603">
        <v>87384.99</v>
      </c>
      <c r="C5603" t="s">
        <v>5612</v>
      </c>
    </row>
    <row r="5604" spans="1:3" x14ac:dyDescent="0.3">
      <c r="A5604" s="426">
        <v>45994</v>
      </c>
      <c r="B5604">
        <v>93029.61</v>
      </c>
      <c r="C5604" t="s">
        <v>5613</v>
      </c>
    </row>
    <row r="5605" spans="1:3" x14ac:dyDescent="0.3">
      <c r="A5605" s="426">
        <v>45995</v>
      </c>
      <c r="B5605">
        <v>92985.41</v>
      </c>
      <c r="C5605" t="s">
        <v>5614</v>
      </c>
    </row>
    <row r="5606" spans="1:3" x14ac:dyDescent="0.3">
      <c r="A5606" s="426">
        <v>45996</v>
      </c>
      <c r="B5606">
        <v>91252.57</v>
      </c>
      <c r="C5606" t="s">
        <v>5615</v>
      </c>
    </row>
    <row r="5607" spans="1:3" x14ac:dyDescent="0.3">
      <c r="A5607" s="426">
        <v>45997</v>
      </c>
      <c r="B5607">
        <v>89615.31</v>
      </c>
      <c r="C5607" t="s">
        <v>5616</v>
      </c>
    </row>
    <row r="5608" spans="1:3" x14ac:dyDescent="0.3">
      <c r="A5608" s="426">
        <v>45998</v>
      </c>
      <c r="B5608">
        <v>89539.17</v>
      </c>
      <c r="C5608" t="s">
        <v>5617</v>
      </c>
    </row>
    <row r="5609" spans="1:3" x14ac:dyDescent="0.3">
      <c r="A5609" s="426">
        <v>45999</v>
      </c>
      <c r="B5609">
        <v>91234.92</v>
      </c>
      <c r="C5609" t="s">
        <v>5618</v>
      </c>
    </row>
    <row r="5610" spans="1:3" x14ac:dyDescent="0.3">
      <c r="A5610" s="426">
        <v>46000</v>
      </c>
      <c r="B5610">
        <v>90557.79</v>
      </c>
      <c r="C5610" t="s">
        <v>5619</v>
      </c>
    </row>
    <row r="5611" spans="1:3" x14ac:dyDescent="0.3">
      <c r="A5611" s="426">
        <v>46001</v>
      </c>
      <c r="B5611">
        <v>92433.96</v>
      </c>
      <c r="C5611" t="s">
        <v>5620</v>
      </c>
    </row>
    <row r="5612" spans="1:3" x14ac:dyDescent="0.3">
      <c r="A5612" s="426">
        <v>46002</v>
      </c>
      <c r="B5612">
        <v>90289.72</v>
      </c>
      <c r="C5612" t="s">
        <v>5621</v>
      </c>
    </row>
    <row r="5613" spans="1:3" x14ac:dyDescent="0.3">
      <c r="A5613" s="426">
        <v>46003</v>
      </c>
      <c r="B5613">
        <v>92233.05</v>
      </c>
      <c r="C5613" t="s">
        <v>5622</v>
      </c>
    </row>
    <row r="5614" spans="1:3" x14ac:dyDescent="0.3">
      <c r="A5614" s="426">
        <v>46004</v>
      </c>
      <c r="B5614">
        <v>90297.01</v>
      </c>
      <c r="C5614" t="s">
        <v>5623</v>
      </c>
    </row>
    <row r="5615" spans="1:3" x14ac:dyDescent="0.3">
      <c r="A5615" s="426">
        <v>46005</v>
      </c>
      <c r="B5615">
        <v>89533.01</v>
      </c>
      <c r="C5615" t="s">
        <v>5624</v>
      </c>
    </row>
    <row r="5616" spans="1:3" x14ac:dyDescent="0.3">
      <c r="A5616" s="426">
        <v>46006</v>
      </c>
      <c r="B5616">
        <v>89291.98</v>
      </c>
      <c r="C5616" t="s">
        <v>5625</v>
      </c>
    </row>
    <row r="5617" spans="1:3" x14ac:dyDescent="0.3">
      <c r="A5617" s="426">
        <v>46007</v>
      </c>
      <c r="B5617">
        <v>87038.92</v>
      </c>
      <c r="C5617" t="s">
        <v>5626</v>
      </c>
    </row>
    <row r="5618" spans="1:3" x14ac:dyDescent="0.3">
      <c r="A5618" s="426">
        <v>46008</v>
      </c>
      <c r="B5618">
        <v>86782.02</v>
      </c>
      <c r="C5618" t="s">
        <v>5627</v>
      </c>
    </row>
    <row r="5619" spans="1:3" x14ac:dyDescent="0.3">
      <c r="A5619" s="426">
        <v>46009</v>
      </c>
      <c r="B5619">
        <v>86581.08</v>
      </c>
      <c r="C5619" t="s">
        <v>5628</v>
      </c>
    </row>
    <row r="5620" spans="1:3" x14ac:dyDescent="0.3">
      <c r="A5620" s="426">
        <v>46010</v>
      </c>
      <c r="B5620">
        <v>87899.9</v>
      </c>
      <c r="C5620" t="s">
        <v>5629</v>
      </c>
    </row>
    <row r="5621" spans="1:3" x14ac:dyDescent="0.3">
      <c r="A5621" s="426">
        <v>46011</v>
      </c>
      <c r="B5621">
        <v>88206.9</v>
      </c>
      <c r="C5621" t="s">
        <v>5630</v>
      </c>
    </row>
    <row r="5622" spans="1:3" x14ac:dyDescent="0.3">
      <c r="A5622" s="426">
        <v>46012</v>
      </c>
      <c r="B5622">
        <v>88272.43</v>
      </c>
      <c r="C5622" t="s">
        <v>5631</v>
      </c>
    </row>
    <row r="5623" spans="1:3" x14ac:dyDescent="0.3">
      <c r="A5623" s="426">
        <v>46013</v>
      </c>
      <c r="B5623">
        <v>89043.86</v>
      </c>
      <c r="C5623" t="s">
        <v>5632</v>
      </c>
    </row>
    <row r="5624" spans="1:3" x14ac:dyDescent="0.3">
      <c r="A5624" s="426">
        <v>46014</v>
      </c>
      <c r="B5624">
        <v>87679.39</v>
      </c>
      <c r="C5624" t="s">
        <v>5633</v>
      </c>
    </row>
    <row r="5625" spans="1:3" x14ac:dyDescent="0.3">
      <c r="A5625" s="426">
        <v>46015</v>
      </c>
      <c r="B5625">
        <v>87219.39</v>
      </c>
      <c r="C5625" t="s">
        <v>5634</v>
      </c>
    </row>
    <row r="5626" spans="1:3" x14ac:dyDescent="0.3">
      <c r="A5626" s="426">
        <v>46016</v>
      </c>
      <c r="B5626">
        <v>87709.69</v>
      </c>
      <c r="C5626" t="s">
        <v>5635</v>
      </c>
    </row>
    <row r="5627" spans="1:3" x14ac:dyDescent="0.3">
      <c r="A5627" s="426">
        <v>46017</v>
      </c>
      <c r="B5627">
        <v>88525.53</v>
      </c>
      <c r="C5627" t="s">
        <v>5636</v>
      </c>
    </row>
    <row r="5628" spans="1:3" x14ac:dyDescent="0.3">
      <c r="A5628" s="426">
        <v>46018</v>
      </c>
      <c r="B5628">
        <v>87453.6</v>
      </c>
      <c r="C5628" t="s">
        <v>5637</v>
      </c>
    </row>
    <row r="5629" spans="1:3" x14ac:dyDescent="0.3">
      <c r="A5629" s="426">
        <v>46019</v>
      </c>
      <c r="B5629">
        <v>87732.06</v>
      </c>
      <c r="C5629" t="s">
        <v>5638</v>
      </c>
    </row>
    <row r="5630" spans="1:3" x14ac:dyDescent="0.3">
      <c r="A5630" s="426">
        <v>46020</v>
      </c>
      <c r="B5630">
        <v>87649.78</v>
      </c>
      <c r="C5630" t="s">
        <v>5639</v>
      </c>
    </row>
    <row r="5631" spans="1:3" x14ac:dyDescent="0.3">
      <c r="A5631" s="426">
        <v>46021</v>
      </c>
      <c r="B5631">
        <v>87875.75</v>
      </c>
      <c r="C5631" t="s">
        <v>5640</v>
      </c>
    </row>
    <row r="5632" spans="1:3" x14ac:dyDescent="0.3">
      <c r="A5632" s="426">
        <v>46022</v>
      </c>
      <c r="B5632">
        <v>88323.92</v>
      </c>
      <c r="C5632" t="s">
        <v>5641</v>
      </c>
    </row>
    <row r="5633" spans="1:3" x14ac:dyDescent="0.3">
      <c r="A5633" s="426">
        <v>46023</v>
      </c>
      <c r="B5633">
        <v>87825.64</v>
      </c>
      <c r="C5633" t="s">
        <v>5642</v>
      </c>
    </row>
    <row r="5634" spans="1:3" x14ac:dyDescent="0.3">
      <c r="A5634" s="426">
        <v>46024</v>
      </c>
      <c r="B5634">
        <v>89374.32</v>
      </c>
      <c r="C5634" t="s">
        <v>5643</v>
      </c>
    </row>
    <row r="5635" spans="1:3" x14ac:dyDescent="0.3">
      <c r="A5635" s="426">
        <v>46025</v>
      </c>
      <c r="B5635">
        <v>90052.35</v>
      </c>
      <c r="C5635" t="s">
        <v>5644</v>
      </c>
    </row>
    <row r="5636" spans="1:3" x14ac:dyDescent="0.3">
      <c r="A5636" s="426">
        <v>46026</v>
      </c>
      <c r="B5636">
        <v>91247.75</v>
      </c>
      <c r="C5636" t="s">
        <v>5645</v>
      </c>
    </row>
    <row r="5637" spans="1:3" x14ac:dyDescent="0.3">
      <c r="A5637" s="426">
        <v>46027</v>
      </c>
      <c r="B5637">
        <v>92971.39</v>
      </c>
      <c r="C5637" t="s">
        <v>5646</v>
      </c>
    </row>
    <row r="5638" spans="1:3" x14ac:dyDescent="0.3">
      <c r="A5638" s="426">
        <v>46028</v>
      </c>
      <c r="B5638">
        <v>93578.08</v>
      </c>
      <c r="C5638" t="s">
        <v>5647</v>
      </c>
    </row>
    <row r="5639" spans="1:3" x14ac:dyDescent="0.3">
      <c r="A5639" s="426">
        <v>46029</v>
      </c>
      <c r="B5639">
        <v>91927.25</v>
      </c>
      <c r="C5639" t="s">
        <v>5648</v>
      </c>
    </row>
    <row r="5640" spans="1:3" x14ac:dyDescent="0.3">
      <c r="A5640" s="426">
        <v>46030</v>
      </c>
      <c r="B5640">
        <v>90704.26</v>
      </c>
      <c r="C5640" t="s">
        <v>5649</v>
      </c>
    </row>
    <row r="5641" spans="1:3" x14ac:dyDescent="0.3">
      <c r="A5641" s="426">
        <v>46031</v>
      </c>
      <c r="B5641">
        <v>90664.46</v>
      </c>
      <c r="C5641" t="s">
        <v>5650</v>
      </c>
    </row>
    <row r="5642" spans="1:3" x14ac:dyDescent="0.3">
      <c r="A5642" s="426">
        <v>46032</v>
      </c>
      <c r="B5642">
        <v>90508.05</v>
      </c>
      <c r="C5642" t="s">
        <v>5651</v>
      </c>
    </row>
    <row r="5643" spans="1:3" x14ac:dyDescent="0.3">
      <c r="A5643" s="426">
        <v>46033</v>
      </c>
      <c r="B5643">
        <v>90628.02</v>
      </c>
      <c r="C5643" t="s">
        <v>5652</v>
      </c>
    </row>
    <row r="5644" spans="1:3" x14ac:dyDescent="0.3">
      <c r="A5644" s="426">
        <v>46034</v>
      </c>
      <c r="B5644">
        <v>91339.89</v>
      </c>
      <c r="C5644" t="s">
        <v>5653</v>
      </c>
    </row>
    <row r="5645" spans="1:3" x14ac:dyDescent="0.3">
      <c r="A5645" s="426">
        <v>46035</v>
      </c>
      <c r="B5645">
        <v>92122.5</v>
      </c>
      <c r="C5645" t="s">
        <v>5654</v>
      </c>
    </row>
    <row r="5646" spans="1:3" x14ac:dyDescent="0.3">
      <c r="A5646" s="426">
        <v>46036</v>
      </c>
      <c r="B5646">
        <v>95438.13</v>
      </c>
      <c r="C5646" t="s">
        <v>5655</v>
      </c>
    </row>
    <row r="5647" spans="1:3" x14ac:dyDescent="0.3">
      <c r="A5647" s="426">
        <v>46037</v>
      </c>
      <c r="B5647">
        <v>96429.84</v>
      </c>
      <c r="C5647" t="s">
        <v>5656</v>
      </c>
    </row>
    <row r="5648" spans="1:3" x14ac:dyDescent="0.3">
      <c r="A5648" s="426">
        <v>46038</v>
      </c>
      <c r="B5648">
        <v>95434.03</v>
      </c>
      <c r="C5648" t="s">
        <v>5657</v>
      </c>
    </row>
    <row r="5649" spans="1:3" x14ac:dyDescent="0.3">
      <c r="A5649" s="426">
        <v>46039</v>
      </c>
      <c r="B5649">
        <v>95278</v>
      </c>
      <c r="C5649" t="s">
        <v>5658</v>
      </c>
    </row>
    <row r="5650" spans="1:3" x14ac:dyDescent="0.3">
      <c r="A5650" s="426">
        <v>46040</v>
      </c>
      <c r="B5650">
        <v>95126.69</v>
      </c>
      <c r="C5650" t="s">
        <v>5659</v>
      </c>
    </row>
    <row r="5651" spans="1:3" x14ac:dyDescent="0.3">
      <c r="A5651" s="426">
        <v>46041</v>
      </c>
      <c r="B5651">
        <v>92960.98</v>
      </c>
      <c r="C5651" t="s">
        <v>5660</v>
      </c>
    </row>
    <row r="5652" spans="1:3" x14ac:dyDescent="0.3">
      <c r="A5652" s="426">
        <v>46042</v>
      </c>
      <c r="B5652">
        <v>90932.37</v>
      </c>
      <c r="C5652" t="s">
        <v>5661</v>
      </c>
    </row>
    <row r="5653" spans="1:3" x14ac:dyDescent="0.3">
      <c r="A5653" s="426">
        <v>46043</v>
      </c>
      <c r="B5653">
        <v>89248.89</v>
      </c>
      <c r="C5653" t="s">
        <v>5662</v>
      </c>
    </row>
    <row r="5654" spans="1:3" x14ac:dyDescent="0.3">
      <c r="A5654" s="426">
        <v>46044</v>
      </c>
      <c r="B5654">
        <v>89820.69</v>
      </c>
      <c r="C5654" t="s">
        <v>5663</v>
      </c>
    </row>
    <row r="5655" spans="1:3" x14ac:dyDescent="0.3">
      <c r="A5655" s="426">
        <v>46045</v>
      </c>
      <c r="B5655">
        <v>89514.18</v>
      </c>
      <c r="C5655" t="s">
        <v>5664</v>
      </c>
    </row>
    <row r="5656" spans="1:3" x14ac:dyDescent="0.3">
      <c r="A5656" s="426">
        <v>46046</v>
      </c>
      <c r="B5656">
        <v>89414.65</v>
      </c>
      <c r="C5656" t="s">
        <v>5665</v>
      </c>
    </row>
    <row r="5657" spans="1:3" x14ac:dyDescent="0.3">
      <c r="A5657" s="426">
        <v>46047</v>
      </c>
      <c r="B5657">
        <v>88525.43</v>
      </c>
      <c r="C5657" t="s">
        <v>5666</v>
      </c>
    </row>
    <row r="5658" spans="1:3" x14ac:dyDescent="0.3">
      <c r="A5658" s="426">
        <v>46048</v>
      </c>
      <c r="B5658">
        <v>87785.71</v>
      </c>
      <c r="C5658" t="s">
        <v>5667</v>
      </c>
    </row>
    <row r="5659" spans="1:3" x14ac:dyDescent="0.3">
      <c r="A5659" s="426">
        <v>46049</v>
      </c>
      <c r="B5659">
        <v>88297.07</v>
      </c>
      <c r="C5659" t="s">
        <v>5668</v>
      </c>
    </row>
    <row r="5660" spans="1:3" x14ac:dyDescent="0.3">
      <c r="A5660" s="426">
        <v>46050</v>
      </c>
      <c r="B5660">
        <v>89256.57</v>
      </c>
      <c r="C5660" t="s">
        <v>5669</v>
      </c>
    </row>
    <row r="5661" spans="1:3" x14ac:dyDescent="0.3">
      <c r="A5661" s="426">
        <v>46051</v>
      </c>
      <c r="B5661">
        <v>87770.81</v>
      </c>
      <c r="C5661" t="s">
        <v>5670</v>
      </c>
    </row>
    <row r="5662" spans="1:3" x14ac:dyDescent="0.3">
      <c r="A5662" s="426">
        <v>46052</v>
      </c>
      <c r="B5662">
        <v>82807.05</v>
      </c>
      <c r="C5662" t="s">
        <v>5671</v>
      </c>
    </row>
    <row r="5663" spans="1:3" x14ac:dyDescent="0.3">
      <c r="A5663" s="426">
        <v>46053</v>
      </c>
      <c r="B5663">
        <v>82858.039999999994</v>
      </c>
      <c r="C5663" t="s">
        <v>5672</v>
      </c>
    </row>
    <row r="5664" spans="1:3" x14ac:dyDescent="0.3">
      <c r="A5664" s="426">
        <v>46054</v>
      </c>
      <c r="B5664">
        <v>78284.850000000006</v>
      </c>
      <c r="C5664" t="s">
        <v>5673</v>
      </c>
    </row>
    <row r="5665" spans="1:3" x14ac:dyDescent="0.3">
      <c r="A5665" s="426">
        <v>46055</v>
      </c>
      <c r="B5665">
        <v>77871.37</v>
      </c>
      <c r="C5665" t="s">
        <v>5674</v>
      </c>
    </row>
    <row r="5666" spans="1:3" x14ac:dyDescent="0.3">
      <c r="A5666" s="426">
        <v>46056</v>
      </c>
      <c r="B5666">
        <v>78173.440000000002</v>
      </c>
      <c r="C5666" t="s">
        <v>5675</v>
      </c>
    </row>
    <row r="5667" spans="1:3" x14ac:dyDescent="0.3">
      <c r="A5667" s="426">
        <v>46057</v>
      </c>
      <c r="B5667">
        <v>75851.509999999995</v>
      </c>
      <c r="C5667" t="s">
        <v>5676</v>
      </c>
    </row>
    <row r="5668" spans="1:3" x14ac:dyDescent="0.3">
      <c r="A5668" s="426">
        <v>46058</v>
      </c>
      <c r="B5668">
        <v>69938.59</v>
      </c>
      <c r="C5668" t="s">
        <v>5677</v>
      </c>
    </row>
    <row r="5669" spans="1:3" x14ac:dyDescent="0.3">
      <c r="A5669" s="426">
        <v>46059</v>
      </c>
      <c r="B5669">
        <v>66442.78</v>
      </c>
      <c r="C5669" t="s">
        <v>5678</v>
      </c>
    </row>
    <row r="5670" spans="1:3" x14ac:dyDescent="0.3">
      <c r="A5670" s="426">
        <v>46060</v>
      </c>
      <c r="B5670">
        <v>69241.899999999994</v>
      </c>
      <c r="C5670" t="s">
        <v>5679</v>
      </c>
    </row>
    <row r="5671" spans="1:3" x14ac:dyDescent="0.3">
      <c r="A5671" s="426">
        <v>46061</v>
      </c>
      <c r="B5671">
        <v>70529.69</v>
      </c>
      <c r="C5671" t="s">
        <v>5680</v>
      </c>
    </row>
    <row r="5672" spans="1:3" x14ac:dyDescent="0.3">
      <c r="A5672" s="426">
        <v>46062</v>
      </c>
      <c r="B5672">
        <v>70339.95</v>
      </c>
      <c r="C5672" t="s">
        <v>5681</v>
      </c>
    </row>
    <row r="5673" spans="1:3" x14ac:dyDescent="0.3">
      <c r="A5673" s="426">
        <v>46063</v>
      </c>
      <c r="B5673">
        <v>69073.039999999994</v>
      </c>
      <c r="C5673" t="s">
        <v>5682</v>
      </c>
    </row>
    <row r="5674" spans="1:3" x14ac:dyDescent="0.3">
      <c r="A5674" s="426">
        <v>46064</v>
      </c>
      <c r="B5674">
        <v>67197.88</v>
      </c>
      <c r="C5674" t="s">
        <v>5683</v>
      </c>
    </row>
    <row r="5675" spans="1:3" x14ac:dyDescent="0.3">
      <c r="A5675" s="426">
        <v>46065</v>
      </c>
      <c r="B5675">
        <v>67216.12</v>
      </c>
      <c r="C5675" t="s">
        <v>5684</v>
      </c>
    </row>
    <row r="5676" spans="1:3" x14ac:dyDescent="0.3">
      <c r="A5676" s="426">
        <v>46066</v>
      </c>
      <c r="B5676">
        <v>67111.520000000004</v>
      </c>
      <c r="C5676" t="s">
        <v>5685</v>
      </c>
    </row>
    <row r="5677" spans="1:3" x14ac:dyDescent="0.3">
      <c r="A5677" s="426">
        <v>46067</v>
      </c>
      <c r="B5677">
        <v>69689.679999999993</v>
      </c>
      <c r="C5677" t="s">
        <v>5686</v>
      </c>
    </row>
    <row r="5678" spans="1:3" x14ac:dyDescent="0.3">
      <c r="A5678" s="426">
        <v>46068</v>
      </c>
      <c r="B5678">
        <v>69497.789999999994</v>
      </c>
      <c r="C5678" t="s">
        <v>5687</v>
      </c>
    </row>
    <row r="5679" spans="1:3" x14ac:dyDescent="0.3">
      <c r="A5679" s="426">
        <v>46069</v>
      </c>
      <c r="B5679">
        <v>68517.55</v>
      </c>
      <c r="C5679" t="s">
        <v>5688</v>
      </c>
    </row>
    <row r="5680" spans="1:3" x14ac:dyDescent="0.3">
      <c r="A5680" s="426">
        <v>46070</v>
      </c>
      <c r="B5680">
        <v>68004.070000000007</v>
      </c>
      <c r="C5680" t="s">
        <v>5689</v>
      </c>
    </row>
    <row r="5681" spans="1:3" x14ac:dyDescent="0.3">
      <c r="A5681" s="426">
        <v>46071</v>
      </c>
      <c r="B5681">
        <v>67344.479999999996</v>
      </c>
      <c r="C5681" t="s">
        <v>5690</v>
      </c>
    </row>
    <row r="5682" spans="1:3" x14ac:dyDescent="0.3">
      <c r="A5682" s="426">
        <v>46072</v>
      </c>
      <c r="B5682">
        <v>66838.45</v>
      </c>
      <c r="C5682" t="s">
        <v>5691</v>
      </c>
    </row>
    <row r="5683" spans="1:3" x14ac:dyDescent="0.3">
      <c r="A5683" s="426">
        <v>46073</v>
      </c>
      <c r="B5683">
        <v>67627.009999999995</v>
      </c>
      <c r="C5683" t="s">
        <v>5692</v>
      </c>
    </row>
    <row r="5684" spans="1:3" x14ac:dyDescent="0.3">
      <c r="A5684" s="426">
        <v>46074</v>
      </c>
      <c r="B5684">
        <v>68162.09</v>
      </c>
      <c r="C5684" t="s">
        <v>5693</v>
      </c>
    </row>
    <row r="5685" spans="1:3" x14ac:dyDescent="0.3">
      <c r="A5685" s="426">
        <v>46075</v>
      </c>
      <c r="B5685">
        <v>67874.240000000005</v>
      </c>
      <c r="C5685" t="s">
        <v>5694</v>
      </c>
    </row>
    <row r="5686" spans="1:3" x14ac:dyDescent="0.3">
      <c r="A5686" s="426">
        <v>46076</v>
      </c>
      <c r="B5686">
        <v>65304.88</v>
      </c>
      <c r="C5686" t="s">
        <v>5695</v>
      </c>
    </row>
    <row r="5687" spans="1:3" x14ac:dyDescent="0.3">
      <c r="A5687" s="426">
        <v>46077</v>
      </c>
      <c r="B5687">
        <v>63772.82</v>
      </c>
      <c r="C5687" t="s">
        <v>5696</v>
      </c>
    </row>
    <row r="5688" spans="1:3" x14ac:dyDescent="0.3">
      <c r="A5688" s="426">
        <v>46078</v>
      </c>
      <c r="B5688">
        <v>66146.75</v>
      </c>
      <c r="C5688" t="s">
        <v>5697</v>
      </c>
    </row>
    <row r="5689" spans="1:3" x14ac:dyDescent="0.3">
      <c r="A5689" s="426">
        <v>46079</v>
      </c>
      <c r="B5689">
        <v>68018.880000000005</v>
      </c>
      <c r="C5689" t="s">
        <v>5698</v>
      </c>
    </row>
    <row r="5690" spans="1:3" x14ac:dyDescent="0.3">
      <c r="A5690" s="426">
        <v>46080</v>
      </c>
      <c r="B5690">
        <v>66173.64</v>
      </c>
      <c r="C5690" t="s">
        <v>5699</v>
      </c>
    </row>
    <row r="5691" spans="1:3" x14ac:dyDescent="0.3">
      <c r="A5691" s="426">
        <v>46081</v>
      </c>
      <c r="B5691">
        <v>65258.67</v>
      </c>
      <c r="C5691" t="s">
        <v>5700</v>
      </c>
    </row>
    <row r="5692" spans="1:3" x14ac:dyDescent="0.3">
      <c r="A5692" s="426">
        <v>46082</v>
      </c>
      <c r="B5692">
        <v>66571.009999999995</v>
      </c>
      <c r="C5692" t="s">
        <v>5701</v>
      </c>
    </row>
    <row r="5693" spans="1:3" x14ac:dyDescent="0.3">
      <c r="A5693" s="426">
        <v>46083</v>
      </c>
      <c r="B5693">
        <v>66772.070000000007</v>
      </c>
      <c r="C5693" t="s">
        <v>5702</v>
      </c>
    </row>
    <row r="5694" spans="1:3" x14ac:dyDescent="0.3">
      <c r="A5694" s="426">
        <v>46084</v>
      </c>
      <c r="B5694">
        <v>68192.34</v>
      </c>
      <c r="C5694" t="s">
        <v>5703</v>
      </c>
    </row>
    <row r="5695" spans="1:3" x14ac:dyDescent="0.3">
      <c r="A5695" s="426">
        <v>46085</v>
      </c>
      <c r="B5695">
        <v>71351.740000000005</v>
      </c>
      <c r="C5695" t="s">
        <v>5704</v>
      </c>
    </row>
    <row r="5696" spans="1:3" x14ac:dyDescent="0.3">
      <c r="A5696" s="426">
        <v>46086</v>
      </c>
      <c r="B5696">
        <v>72452.25</v>
      </c>
      <c r="C5696" t="s">
        <v>5705</v>
      </c>
    </row>
    <row r="5697" spans="1:3" x14ac:dyDescent="0.3">
      <c r="A5697" s="426">
        <v>46087</v>
      </c>
      <c r="B5697">
        <v>70198.73</v>
      </c>
      <c r="C5697" t="s">
        <v>5706</v>
      </c>
    </row>
    <row r="5698" spans="1:3" x14ac:dyDescent="0.3">
      <c r="A5698" s="426">
        <v>46088</v>
      </c>
      <c r="B5698">
        <v>67916.89</v>
      </c>
      <c r="C5698" t="s">
        <v>5707</v>
      </c>
    </row>
    <row r="5699" spans="1:3" x14ac:dyDescent="0.3">
      <c r="A5699" s="426">
        <v>46089</v>
      </c>
      <c r="B5699">
        <v>67201.740000000005</v>
      </c>
      <c r="C5699" t="s">
        <v>5708</v>
      </c>
    </row>
    <row r="5700" spans="1:3" x14ac:dyDescent="0.3">
      <c r="A5700" s="426">
        <v>46090</v>
      </c>
      <c r="B5700">
        <v>68066.42</v>
      </c>
      <c r="C5700" t="s">
        <v>5709</v>
      </c>
    </row>
    <row r="5701" spans="1:3" x14ac:dyDescent="0.3">
      <c r="A5701" s="426">
        <v>46091</v>
      </c>
      <c r="B5701">
        <v>70211.02</v>
      </c>
      <c r="C5701" t="s">
        <v>5710</v>
      </c>
    </row>
    <row r="5702" spans="1:3" x14ac:dyDescent="0.3">
      <c r="A5702" s="426">
        <v>46092</v>
      </c>
      <c r="B5702">
        <v>70137.100000000006</v>
      </c>
      <c r="C5702" t="s">
        <v>5711</v>
      </c>
    </row>
    <row r="5703" spans="1:3" x14ac:dyDescent="0.3">
      <c r="A5703" s="426">
        <v>46093</v>
      </c>
      <c r="B5703">
        <v>70130.59</v>
      </c>
      <c r="C5703" t="s">
        <v>5712</v>
      </c>
    </row>
    <row r="5704" spans="1:3" x14ac:dyDescent="0.3">
      <c r="A5704" s="426">
        <v>46094</v>
      </c>
      <c r="B5704">
        <v>71475.23</v>
      </c>
      <c r="C5704" t="s">
        <v>5713</v>
      </c>
    </row>
    <row r="5705" spans="1:3" x14ac:dyDescent="0.3">
      <c r="A5705" s="426">
        <v>46095</v>
      </c>
      <c r="B5705">
        <v>70717.399999999994</v>
      </c>
      <c r="C5705" t="s">
        <v>5714</v>
      </c>
    </row>
    <row r="5706" spans="1:3" x14ac:dyDescent="0.3">
      <c r="A5706" s="426">
        <v>46096</v>
      </c>
      <c r="B5706">
        <v>71559.45</v>
      </c>
      <c r="C5706" t="s">
        <v>5715</v>
      </c>
    </row>
    <row r="5707" spans="1:3" x14ac:dyDescent="0.3">
      <c r="A5707" s="426">
        <v>46097</v>
      </c>
      <c r="B5707">
        <v>73768.22</v>
      </c>
      <c r="C5707" t="s">
        <v>5716</v>
      </c>
    </row>
    <row r="5708" spans="1:3" x14ac:dyDescent="0.3">
      <c r="A5708" s="426">
        <v>46098</v>
      </c>
      <c r="B5708">
        <v>74294.740000000005</v>
      </c>
      <c r="C5708" t="s">
        <v>5717</v>
      </c>
    </row>
    <row r="5709" spans="1:3" x14ac:dyDescent="0.3">
      <c r="A5709" s="426">
        <v>46099</v>
      </c>
      <c r="B5709">
        <v>72962.09</v>
      </c>
      <c r="C5709" t="s">
        <v>5718</v>
      </c>
    </row>
    <row r="5710" spans="1:3" x14ac:dyDescent="0.3">
      <c r="A5710" s="426">
        <v>46100</v>
      </c>
      <c r="B5710">
        <v>70220.460000000006</v>
      </c>
      <c r="C5710" t="s">
        <v>5719</v>
      </c>
    </row>
    <row r="5711" spans="1:3" x14ac:dyDescent="0.3">
      <c r="A5711" s="426">
        <v>46101</v>
      </c>
      <c r="B5711">
        <v>70449.710000000006</v>
      </c>
      <c r="C5711" t="s">
        <v>5720</v>
      </c>
    </row>
    <row r="5712" spans="1:3" x14ac:dyDescent="0.3">
      <c r="A5712" s="426">
        <v>46102</v>
      </c>
      <c r="B5712">
        <v>70622.600000000006</v>
      </c>
      <c r="C5712" t="s">
        <v>5721</v>
      </c>
    </row>
    <row r="5713" spans="1:3" x14ac:dyDescent="0.3">
      <c r="A5713" s="426">
        <v>46103</v>
      </c>
      <c r="B5713">
        <v>68771.53</v>
      </c>
      <c r="C5713" t="s">
        <v>5722</v>
      </c>
    </row>
    <row r="5714" spans="1:3" x14ac:dyDescent="0.3">
      <c r="A5714" s="426">
        <v>46104</v>
      </c>
      <c r="B5714">
        <v>70260.13</v>
      </c>
      <c r="C5714" t="s">
        <v>5723</v>
      </c>
    </row>
    <row r="5715" spans="1:3" x14ac:dyDescent="0.3">
      <c r="A5715" s="426">
        <v>46105</v>
      </c>
      <c r="B5715">
        <v>70456</v>
      </c>
      <c r="C5715" t="s">
        <v>5724</v>
      </c>
    </row>
    <row r="5716" spans="1:3" x14ac:dyDescent="0.3">
      <c r="A5716" s="426">
        <v>46106</v>
      </c>
      <c r="B5716">
        <v>71058.25</v>
      </c>
      <c r="C5716" t="s">
        <v>5725</v>
      </c>
    </row>
    <row r="5717" spans="1:3" x14ac:dyDescent="0.3">
      <c r="A5717" s="426">
        <v>46107</v>
      </c>
      <c r="B5717">
        <v>69451.039999999994</v>
      </c>
      <c r="C5717" t="s">
        <v>5726</v>
      </c>
    </row>
    <row r="5718" spans="1:3" x14ac:dyDescent="0.3">
      <c r="A5718" s="426">
        <v>46108</v>
      </c>
      <c r="B5718">
        <v>66656.83</v>
      </c>
      <c r="C5718" t="s">
        <v>5727</v>
      </c>
    </row>
    <row r="5719" spans="1:3" x14ac:dyDescent="0.3">
      <c r="A5719" s="426">
        <v>46109</v>
      </c>
      <c r="B5719">
        <v>66401.56</v>
      </c>
      <c r="C5719" t="s">
        <v>5728</v>
      </c>
    </row>
    <row r="5720" spans="1:3" x14ac:dyDescent="0.3">
      <c r="A5720" s="426">
        <v>46110</v>
      </c>
      <c r="B5720">
        <v>66565.83</v>
      </c>
      <c r="C5720" t="s">
        <v>5729</v>
      </c>
    </row>
    <row r="5721" spans="1:3" x14ac:dyDescent="0.3">
      <c r="A5721" s="426">
        <v>46111</v>
      </c>
      <c r="B5721">
        <v>67276.850000000006</v>
      </c>
      <c r="C5721" t="s">
        <v>5730</v>
      </c>
    </row>
    <row r="5722" spans="1:3" x14ac:dyDescent="0.3">
      <c r="A5722" s="426">
        <v>46112</v>
      </c>
      <c r="B5722">
        <v>67495.09</v>
      </c>
      <c r="C5722" t="s">
        <v>5731</v>
      </c>
    </row>
    <row r="5723" spans="1:3" x14ac:dyDescent="0.3">
      <c r="A5723" s="426">
        <v>46113</v>
      </c>
      <c r="B5723">
        <v>68399.429999999993</v>
      </c>
      <c r="C5723" t="s">
        <v>5732</v>
      </c>
    </row>
    <row r="5724" spans="1:3" x14ac:dyDescent="0.3">
      <c r="A5724" s="426">
        <v>46114</v>
      </c>
      <c r="B5724">
        <v>66805.039999999994</v>
      </c>
      <c r="C5724" t="s">
        <v>5733</v>
      </c>
    </row>
    <row r="5725" spans="1:3" x14ac:dyDescent="0.3">
      <c r="A5725" s="426">
        <v>46115</v>
      </c>
      <c r="B5725">
        <v>66851.67</v>
      </c>
      <c r="C5725" t="s">
        <v>5734</v>
      </c>
    </row>
    <row r="5726" spans="1:3" x14ac:dyDescent="0.3">
      <c r="A5726" s="426">
        <v>46116</v>
      </c>
      <c r="B5726">
        <v>67112.13</v>
      </c>
      <c r="C5726" t="s">
        <v>5735</v>
      </c>
    </row>
    <row r="5727" spans="1:3" x14ac:dyDescent="0.3">
      <c r="A5727" s="426">
        <v>46117</v>
      </c>
      <c r="B5727">
        <v>67115.66</v>
      </c>
      <c r="C5727" t="s">
        <v>5736</v>
      </c>
    </row>
    <row r="5728" spans="1:3" x14ac:dyDescent="0.3">
      <c r="A5728" s="426">
        <v>46118</v>
      </c>
      <c r="B5728">
        <v>69446.559999999998</v>
      </c>
      <c r="C5728" t="s">
        <v>5737</v>
      </c>
    </row>
    <row r="5729" spans="1:3" x14ac:dyDescent="0.3">
      <c r="A5729" s="426">
        <v>46119</v>
      </c>
      <c r="B5729">
        <v>68630.64</v>
      </c>
      <c r="C5729" t="s">
        <v>5738</v>
      </c>
    </row>
    <row r="5730" spans="1:3" x14ac:dyDescent="0.3">
      <c r="A5730" s="426">
        <v>46120</v>
      </c>
      <c r="B5730">
        <v>71523.83</v>
      </c>
      <c r="C5730" t="s">
        <v>5739</v>
      </c>
    </row>
    <row r="5731" spans="1:3" x14ac:dyDescent="0.3">
      <c r="A5731" s="426">
        <v>46121</v>
      </c>
      <c r="B5731">
        <v>71246.8</v>
      </c>
      <c r="C5731" t="s">
        <v>5740</v>
      </c>
    </row>
    <row r="5732" spans="1:3" x14ac:dyDescent="0.3">
      <c r="A5732" s="426">
        <v>46122</v>
      </c>
      <c r="B5732">
        <v>72249.5</v>
      </c>
      <c r="C5732" t="s">
        <v>5741</v>
      </c>
    </row>
    <row r="5733" spans="1:3" x14ac:dyDescent="0.3">
      <c r="A5733" s="426">
        <v>46123</v>
      </c>
      <c r="B5733">
        <v>72907.08</v>
      </c>
      <c r="C5733" t="s">
        <v>5742</v>
      </c>
    </row>
    <row r="5734" spans="1:3" x14ac:dyDescent="0.3">
      <c r="A5734" s="426">
        <v>46124</v>
      </c>
      <c r="B5734">
        <v>71458.27</v>
      </c>
      <c r="C5734" t="s">
        <v>5743</v>
      </c>
    </row>
    <row r="5735" spans="1:3" x14ac:dyDescent="0.3">
      <c r="A5735" s="426">
        <v>46125</v>
      </c>
      <c r="B5735">
        <v>71191.429999999993</v>
      </c>
      <c r="C5735" t="s">
        <v>5744</v>
      </c>
    </row>
    <row r="5736" spans="1:3" x14ac:dyDescent="0.3">
      <c r="A5736" s="426">
        <v>46126</v>
      </c>
      <c r="B5736">
        <v>74447.09</v>
      </c>
      <c r="C5736" t="s">
        <v>5745</v>
      </c>
    </row>
    <row r="5737" spans="1:3" x14ac:dyDescent="0.3">
      <c r="A5737" s="426">
        <v>46127</v>
      </c>
      <c r="B5737">
        <v>74310.25</v>
      </c>
      <c r="C5737" t="s">
        <v>5746</v>
      </c>
    </row>
    <row r="5738" spans="1:3" x14ac:dyDescent="0.3">
      <c r="A5738" s="426">
        <v>46128</v>
      </c>
      <c r="B5738">
        <v>74817.62</v>
      </c>
      <c r="C5738" t="s">
        <v>5747</v>
      </c>
    </row>
    <row r="5739" spans="1:3" x14ac:dyDescent="0.3">
      <c r="A5739" s="426">
        <v>46129</v>
      </c>
      <c r="B5739">
        <v>75894.100000000006</v>
      </c>
      <c r="C5739" t="s">
        <v>5748</v>
      </c>
    </row>
    <row r="5740" spans="1:3" x14ac:dyDescent="0.3">
      <c r="A5740" s="426">
        <v>46130</v>
      </c>
      <c r="B5740">
        <v>76222.03</v>
      </c>
      <c r="C5740" t="s">
        <v>5749</v>
      </c>
    </row>
    <row r="5741" spans="1:3" x14ac:dyDescent="0.3">
      <c r="A5741" s="426">
        <v>46131</v>
      </c>
      <c r="B5741">
        <v>75428.03</v>
      </c>
      <c r="C5741" t="s">
        <v>5750</v>
      </c>
    </row>
    <row r="5742" spans="1:3" x14ac:dyDescent="0.3">
      <c r="A5742" s="426">
        <v>46132</v>
      </c>
      <c r="B5742">
        <v>75264.960000000006</v>
      </c>
      <c r="C5742" t="s">
        <v>5751</v>
      </c>
    </row>
    <row r="5743" spans="1:3" x14ac:dyDescent="0.3">
      <c r="A5743" s="426">
        <v>46133</v>
      </c>
      <c r="B5743">
        <v>75875.48</v>
      </c>
      <c r="C5743" t="s">
        <v>5752</v>
      </c>
    </row>
    <row r="5744" spans="1:3" x14ac:dyDescent="0.3">
      <c r="A5744" s="426">
        <v>46134</v>
      </c>
      <c r="B5744">
        <v>78273.77</v>
      </c>
      <c r="C5744" t="s">
        <v>5753</v>
      </c>
    </row>
    <row r="5745" spans="1:3" x14ac:dyDescent="0.3">
      <c r="A5745" s="426">
        <v>46135</v>
      </c>
      <c r="B5745">
        <v>77937.53</v>
      </c>
      <c r="C5745" t="s">
        <v>5754</v>
      </c>
    </row>
    <row r="5746" spans="1:3" x14ac:dyDescent="0.3">
      <c r="A5746" s="426">
        <v>46136</v>
      </c>
      <c r="B5746">
        <v>77759.039999999994</v>
      </c>
      <c r="C5746" t="s">
        <v>5755</v>
      </c>
    </row>
    <row r="5747" spans="1:3" x14ac:dyDescent="0.3">
      <c r="A5747" s="426">
        <v>46137</v>
      </c>
      <c r="B5747">
        <v>77570.39</v>
      </c>
      <c r="C5747" t="s">
        <v>5756</v>
      </c>
    </row>
    <row r="5748" spans="1:3" x14ac:dyDescent="0.3">
      <c r="A5748" s="426">
        <v>46138</v>
      </c>
      <c r="B5748">
        <v>78048.5</v>
      </c>
      <c r="C5748" t="s">
        <v>5757</v>
      </c>
    </row>
    <row r="5749" spans="1:3" x14ac:dyDescent="0.3">
      <c r="A5749" s="426">
        <v>46139</v>
      </c>
      <c r="B5749">
        <v>77746.240000000005</v>
      </c>
      <c r="C5749" t="s">
        <v>5758</v>
      </c>
    </row>
    <row r="5750" spans="1:3" x14ac:dyDescent="0.3">
      <c r="A5750" s="426">
        <v>46140</v>
      </c>
      <c r="B5750">
        <v>76393.25</v>
      </c>
      <c r="C5750" t="s">
        <v>5759</v>
      </c>
    </row>
    <row r="5751" spans="1:3" x14ac:dyDescent="0.3">
      <c r="A5751" s="426">
        <v>46141</v>
      </c>
      <c r="B5751">
        <v>76592.759999999995</v>
      </c>
      <c r="C5751" t="s">
        <v>5760</v>
      </c>
    </row>
    <row r="5752" spans="1:3" x14ac:dyDescent="0.3">
      <c r="A5752" s="426">
        <v>46142</v>
      </c>
      <c r="B5752">
        <v>76222.98</v>
      </c>
      <c r="C5752" t="s">
        <v>5761</v>
      </c>
    </row>
    <row r="5753" spans="1:3" x14ac:dyDescent="0.3">
      <c r="A5753" s="426">
        <v>46143</v>
      </c>
      <c r="B5753">
        <v>77769.19</v>
      </c>
      <c r="C5753" t="s">
        <v>5762</v>
      </c>
    </row>
    <row r="5754" spans="1:3" x14ac:dyDescent="0.3">
      <c r="A5754" s="426">
        <v>46144</v>
      </c>
      <c r="B5754">
        <v>78358.84</v>
      </c>
      <c r="C5754" t="s">
        <v>5763</v>
      </c>
    </row>
    <row r="5755" spans="1:3" x14ac:dyDescent="0.3">
      <c r="A5755" s="426">
        <v>46145</v>
      </c>
      <c r="B5755">
        <v>78627.63</v>
      </c>
      <c r="C5755" t="s">
        <v>5764</v>
      </c>
    </row>
    <row r="5756" spans="1:3" x14ac:dyDescent="0.3">
      <c r="A5756" s="426">
        <v>46146</v>
      </c>
      <c r="B5756">
        <v>79912.509999999995</v>
      </c>
      <c r="C5756" t="s">
        <v>5765</v>
      </c>
    </row>
    <row r="5757" spans="1:3" x14ac:dyDescent="0.3">
      <c r="A5757" s="426">
        <v>46147</v>
      </c>
      <c r="B5757">
        <v>81059.929999999993</v>
      </c>
      <c r="C5757" t="s">
        <v>5766</v>
      </c>
    </row>
    <row r="5758" spans="1:3" x14ac:dyDescent="0.3">
      <c r="A5758" s="426">
        <v>46148</v>
      </c>
      <c r="B5758">
        <v>81502.820000000007</v>
      </c>
      <c r="C5758" t="s">
        <v>5767</v>
      </c>
    </row>
    <row r="5759" spans="1:3" x14ac:dyDescent="0.3">
      <c r="A5759" s="426">
        <v>46149</v>
      </c>
      <c r="B5759">
        <v>80847.58</v>
      </c>
      <c r="C5759" t="s">
        <v>5768</v>
      </c>
    </row>
    <row r="5760" spans="1:3" x14ac:dyDescent="0.3">
      <c r="A5760" s="426">
        <v>46150</v>
      </c>
      <c r="B5760">
        <v>79969.990000000005</v>
      </c>
      <c r="C5760" t="s">
        <v>5769</v>
      </c>
    </row>
    <row r="5761" spans="1:3" x14ac:dyDescent="0.3">
      <c r="A5761" s="426">
        <v>46151</v>
      </c>
      <c r="B5761">
        <v>80384.52</v>
      </c>
      <c r="C5761" t="s">
        <v>5770</v>
      </c>
    </row>
    <row r="5762" spans="1:3" x14ac:dyDescent="0.3">
      <c r="A5762" s="426">
        <v>46152</v>
      </c>
      <c r="B5762">
        <v>80815.5</v>
      </c>
      <c r="C5762" t="s">
        <v>5771</v>
      </c>
    </row>
    <row r="5763" spans="1:3" x14ac:dyDescent="0.3">
      <c r="A5763" s="426">
        <v>46153</v>
      </c>
      <c r="B5763">
        <v>81186.679999999993</v>
      </c>
      <c r="C5763" t="s">
        <v>5772</v>
      </c>
    </row>
    <row r="5764" spans="1:3" x14ac:dyDescent="0.3">
      <c r="A5764" s="426">
        <v>46154</v>
      </c>
      <c r="B5764">
        <v>80719.320000000007</v>
      </c>
      <c r="C5764" t="s">
        <v>5773</v>
      </c>
    </row>
    <row r="5765" spans="1:3" x14ac:dyDescent="0.3">
      <c r="A5765" s="426">
        <v>46155</v>
      </c>
      <c r="B5765">
        <v>80471.97</v>
      </c>
      <c r="C5765" t="s">
        <v>5774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2:L152"/>
  <sheetViews>
    <sheetView showGridLines="0" rightToLeft="1" topLeftCell="A4" zoomScaleNormal="100" zoomScaleSheetLayoutView="100" workbookViewId="0">
      <selection activeCell="D18" sqref="D18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3" style="23" bestFit="1" customWidth="1"/>
    <col min="4" max="4" width="16.53515625" style="23" customWidth="1"/>
    <col min="5" max="5" width="30.07421875" style="23" bestFit="1" customWidth="1"/>
    <col min="6" max="6" width="18" style="23" customWidth="1"/>
    <col min="7" max="7" width="21" style="23" customWidth="1"/>
    <col min="8" max="8" width="16.23046875" style="23" customWidth="1"/>
    <col min="9" max="16" width="10.765625" style="23" customWidth="1"/>
    <col min="17" max="17" width="11.2304687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2" spans="1:12" ht="18.899999999999999" thickBot="1" x14ac:dyDescent="0.8"/>
    <row r="3" spans="1:12" ht="19.75" x14ac:dyDescent="0.85">
      <c r="B3" s="594" t="s">
        <v>51</v>
      </c>
      <c r="C3" s="595"/>
      <c r="D3" s="595"/>
      <c r="E3" s="595"/>
      <c r="F3" s="596"/>
    </row>
    <row r="4" spans="1:12" ht="19.75" x14ac:dyDescent="0.85">
      <c r="B4" s="101" t="s">
        <v>125</v>
      </c>
      <c r="C4" s="77" t="s">
        <v>38</v>
      </c>
      <c r="D4" s="77" t="s">
        <v>126</v>
      </c>
      <c r="E4" s="77" t="s">
        <v>128</v>
      </c>
      <c r="F4" s="102" t="s">
        <v>213</v>
      </c>
    </row>
    <row r="5" spans="1:12" ht="19.75" x14ac:dyDescent="0.75">
      <c r="A5" s="24"/>
      <c r="B5" s="223" t="s">
        <v>11</v>
      </c>
      <c r="C5" s="149" t="s">
        <v>127</v>
      </c>
      <c r="D5" s="230">
        <v>1475355</v>
      </c>
      <c r="E5" s="355" t="s">
        <v>129</v>
      </c>
      <c r="F5" s="221">
        <f>D5/1000000</f>
        <v>1.475355</v>
      </c>
      <c r="I5" s="25"/>
      <c r="J5" s="25"/>
      <c r="K5" s="25"/>
      <c r="L5" s="26"/>
    </row>
    <row r="6" spans="1:12" x14ac:dyDescent="0.75">
      <c r="A6" s="24"/>
      <c r="B6" s="223" t="s">
        <v>130</v>
      </c>
      <c r="C6" s="149" t="s">
        <v>127</v>
      </c>
      <c r="D6" s="230">
        <v>1737090</v>
      </c>
      <c r="E6" s="355" t="s">
        <v>129</v>
      </c>
      <c r="F6" s="221">
        <f>D6/1000000</f>
        <v>1.73709</v>
      </c>
      <c r="H6" s="27"/>
      <c r="I6" s="27"/>
      <c r="J6" s="27"/>
      <c r="K6" s="27"/>
      <c r="L6" s="28"/>
    </row>
    <row r="7" spans="1:12" x14ac:dyDescent="0.75">
      <c r="B7" s="223" t="s">
        <v>329</v>
      </c>
      <c r="C7" s="149" t="s">
        <v>11</v>
      </c>
      <c r="D7" s="350">
        <f>1/ریال</f>
        <v>6.7780296945480922E-7</v>
      </c>
      <c r="E7" s="220"/>
      <c r="F7" s="221"/>
      <c r="H7" s="29"/>
      <c r="I7" s="29"/>
      <c r="J7" s="30"/>
      <c r="K7" s="30"/>
      <c r="L7" s="31"/>
    </row>
    <row r="8" spans="1:12" x14ac:dyDescent="0.75">
      <c r="B8" s="219" t="s">
        <v>395</v>
      </c>
      <c r="C8" s="149" t="s">
        <v>0</v>
      </c>
      <c r="D8" s="351">
        <v>1</v>
      </c>
      <c r="E8" s="220"/>
      <c r="F8" s="221"/>
      <c r="H8" s="29"/>
      <c r="I8" s="29"/>
      <c r="J8" s="30"/>
      <c r="K8" s="30"/>
      <c r="L8" s="31"/>
    </row>
    <row r="9" spans="1:12" x14ac:dyDescent="0.75">
      <c r="B9" s="219" t="s">
        <v>117</v>
      </c>
      <c r="C9" s="356" t="s">
        <v>0</v>
      </c>
      <c r="D9" s="351">
        <v>1</v>
      </c>
      <c r="E9" s="220"/>
      <c r="F9" s="221"/>
      <c r="H9" s="29"/>
      <c r="I9" s="29"/>
      <c r="J9" s="30"/>
      <c r="K9" s="30"/>
      <c r="L9" s="31"/>
    </row>
    <row r="10" spans="1:12" x14ac:dyDescent="0.75">
      <c r="B10" s="223" t="s">
        <v>452</v>
      </c>
      <c r="C10" s="352" t="s">
        <v>0</v>
      </c>
      <c r="D10" s="302">
        <f>D6/D5</f>
        <v>1.1774047602102544</v>
      </c>
      <c r="E10" s="220"/>
      <c r="F10" s="221"/>
      <c r="H10" s="29"/>
      <c r="I10" s="29"/>
      <c r="J10" s="30"/>
      <c r="K10" s="30"/>
      <c r="L10" s="31"/>
    </row>
    <row r="11" spans="1:12" ht="18.899999999999999" thickBot="1" x14ac:dyDescent="0.8">
      <c r="B11" s="353" t="s">
        <v>131</v>
      </c>
      <c r="C11" s="228" t="s">
        <v>0</v>
      </c>
      <c r="D11" s="228" t="s">
        <v>524</v>
      </c>
      <c r="E11" s="600"/>
      <c r="F11" s="601"/>
      <c r="H11" s="29"/>
      <c r="I11" s="29"/>
      <c r="J11" s="30"/>
      <c r="K11" s="30"/>
      <c r="L11" s="31"/>
    </row>
    <row r="12" spans="1:12" ht="19.75" x14ac:dyDescent="0.85">
      <c r="B12" s="33"/>
      <c r="C12" s="33"/>
      <c r="D12" s="33"/>
      <c r="E12" s="33"/>
      <c r="F12" s="24"/>
      <c r="H12" s="29"/>
      <c r="I12" s="29"/>
      <c r="J12" s="30"/>
      <c r="K12" s="30"/>
      <c r="L12" s="31"/>
    </row>
    <row r="13" spans="1:12" ht="18.899999999999999" thickBot="1" x14ac:dyDescent="0.8"/>
    <row r="14" spans="1:12" ht="19.75" x14ac:dyDescent="0.75">
      <c r="B14" s="597" t="s">
        <v>5779</v>
      </c>
      <c r="C14" s="598"/>
      <c r="D14" s="598"/>
      <c r="E14" s="599"/>
    </row>
    <row r="15" spans="1:12" ht="19.75" x14ac:dyDescent="0.75">
      <c r="B15" s="271" t="s">
        <v>125</v>
      </c>
      <c r="C15" s="270" t="s">
        <v>38</v>
      </c>
      <c r="D15" s="270" t="s">
        <v>126</v>
      </c>
      <c r="E15" s="272" t="s">
        <v>128</v>
      </c>
    </row>
    <row r="16" spans="1:12" x14ac:dyDescent="0.75">
      <c r="B16" s="223" t="s">
        <v>5776</v>
      </c>
      <c r="C16" s="149" t="s">
        <v>93</v>
      </c>
      <c r="D16" s="231">
        <v>0.25</v>
      </c>
      <c r="E16" s="253" t="s">
        <v>5778</v>
      </c>
    </row>
    <row r="17" spans="2:5" x14ac:dyDescent="0.75">
      <c r="B17" s="223" t="s">
        <v>5777</v>
      </c>
      <c r="C17" s="149" t="s">
        <v>93</v>
      </c>
      <c r="D17" s="231">
        <v>0.1</v>
      </c>
      <c r="E17" s="253" t="s">
        <v>5901</v>
      </c>
    </row>
    <row r="18" spans="2:5" x14ac:dyDescent="0.75">
      <c r="B18" s="223" t="s">
        <v>215</v>
      </c>
      <c r="C18" s="149" t="s">
        <v>93</v>
      </c>
      <c r="D18" s="231">
        <v>0.06</v>
      </c>
      <c r="E18" s="253"/>
    </row>
    <row r="19" spans="2:5" x14ac:dyDescent="0.75">
      <c r="B19" s="223" t="s">
        <v>497</v>
      </c>
      <c r="C19" s="149" t="s">
        <v>93</v>
      </c>
      <c r="D19" s="343">
        <v>0</v>
      </c>
      <c r="E19" s="253"/>
    </row>
    <row r="20" spans="2:5" ht="18.899999999999999" thickBot="1" x14ac:dyDescent="0.8">
      <c r="B20" s="227" t="s">
        <v>496</v>
      </c>
      <c r="C20" s="153" t="s">
        <v>93</v>
      </c>
      <c r="D20" s="344">
        <v>0</v>
      </c>
      <c r="E20" s="257"/>
    </row>
    <row r="60" ht="11.7" customHeight="1" x14ac:dyDescent="0.75"/>
    <row r="88" ht="10.5" customHeight="1" x14ac:dyDescent="0.75"/>
    <row r="151" spans="2:5" ht="19.75" x14ac:dyDescent="0.75">
      <c r="B151" s="76"/>
      <c r="C151" s="93"/>
      <c r="D151" s="94"/>
      <c r="E151" s="93"/>
    </row>
    <row r="152" spans="2:5" ht="19.75" x14ac:dyDescent="0.75">
      <c r="B152" s="76"/>
      <c r="C152" s="93"/>
      <c r="D152" s="94"/>
      <c r="E152" s="93"/>
    </row>
  </sheetData>
  <mergeCells count="3">
    <mergeCell ref="B3:F3"/>
    <mergeCell ref="B14:E14"/>
    <mergeCell ref="E11:F11"/>
  </mergeCells>
  <phoneticPr fontId="5" type="noConversion"/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EB90-C35C-4AC7-8229-17FD0B73F6B5}">
  <sheetPr>
    <tabColor theme="3" tint="0.79998168889431442"/>
  </sheetPr>
  <dimension ref="A2:Q151"/>
  <sheetViews>
    <sheetView showGridLines="0" rightToLeft="1" topLeftCell="A115" zoomScaleNormal="100" zoomScaleSheetLayoutView="100" workbookViewId="0">
      <selection activeCell="D123" sqref="D123"/>
    </sheetView>
  </sheetViews>
  <sheetFormatPr defaultColWidth="10.23046875" defaultRowHeight="18.45" x14ac:dyDescent="0.75"/>
  <cols>
    <col min="1" max="1" width="3.53515625" style="23" customWidth="1"/>
    <col min="2" max="2" width="50.3046875" style="23" bestFit="1" customWidth="1"/>
    <col min="3" max="3" width="22.53515625" style="23" bestFit="1" customWidth="1"/>
    <col min="4" max="4" width="7.3046875" style="23" bestFit="1" customWidth="1"/>
    <col min="5" max="5" width="15.84375" style="23" bestFit="1" customWidth="1"/>
    <col min="6" max="6" width="4.765625" style="23" bestFit="1" customWidth="1"/>
    <col min="7" max="8" width="4.4609375" style="23" bestFit="1" customWidth="1"/>
    <col min="9" max="9" width="4.765625" style="23" bestFit="1" customWidth="1"/>
    <col min="10" max="10" width="6.23046875" style="23" bestFit="1" customWidth="1"/>
    <col min="11" max="11" width="4.765625" style="23" bestFit="1" customWidth="1"/>
    <col min="12" max="12" width="4.84375" style="23" bestFit="1" customWidth="1"/>
    <col min="13" max="13" width="7.84375" style="23" bestFit="1" customWidth="1"/>
    <col min="14" max="15" width="4.84375" style="23" bestFit="1" customWidth="1"/>
    <col min="16" max="17" width="4.765625" style="23" bestFit="1" customWidth="1"/>
    <col min="18" max="18" width="18.53515625" style="23" bestFit="1" customWidth="1"/>
    <col min="19" max="19" width="12.53515625" style="23" bestFit="1" customWidth="1"/>
    <col min="20" max="16384" width="10.23046875" style="23"/>
  </cols>
  <sheetData>
    <row r="2" spans="2:17" ht="18.899999999999999" thickBot="1" x14ac:dyDescent="0.8"/>
    <row r="3" spans="2:17" ht="19.75" x14ac:dyDescent="0.75">
      <c r="B3" s="607" t="s">
        <v>20</v>
      </c>
      <c r="C3" s="323" t="s">
        <v>214</v>
      </c>
      <c r="D3" s="602" t="str">
        <f>'داده‌های ورودی'!$B$7</f>
        <v>دوره بهره‌برداري اول</v>
      </c>
      <c r="E3" s="602"/>
      <c r="F3" s="602"/>
      <c r="G3" s="602"/>
      <c r="H3" s="602" t="str">
        <f>'داده‌های ورودی'!$B$8</f>
        <v>دوره بهره‌برداري دوم</v>
      </c>
      <c r="I3" s="602"/>
      <c r="J3" s="602"/>
      <c r="K3" s="602"/>
      <c r="L3" s="602"/>
      <c r="M3" s="602"/>
      <c r="N3" s="602"/>
      <c r="O3" s="602"/>
      <c r="P3" s="602"/>
      <c r="Q3" s="603"/>
    </row>
    <row r="4" spans="2:17" ht="19.75" x14ac:dyDescent="0.75">
      <c r="B4" s="608"/>
      <c r="C4" s="314">
        <v>1406</v>
      </c>
      <c r="D4" s="312">
        <f t="shared" ref="D4:O4" si="0">+C4+1</f>
        <v>1407</v>
      </c>
      <c r="E4" s="312">
        <f t="shared" si="0"/>
        <v>1408</v>
      </c>
      <c r="F4" s="312">
        <f t="shared" si="0"/>
        <v>1409</v>
      </c>
      <c r="G4" s="312">
        <f t="shared" si="0"/>
        <v>1410</v>
      </c>
      <c r="H4" s="312">
        <f t="shared" si="0"/>
        <v>1411</v>
      </c>
      <c r="I4" s="312">
        <f t="shared" si="0"/>
        <v>1412</v>
      </c>
      <c r="J4" s="312">
        <f t="shared" si="0"/>
        <v>1413</v>
      </c>
      <c r="K4" s="312">
        <f t="shared" si="0"/>
        <v>1414</v>
      </c>
      <c r="L4" s="312">
        <f t="shared" si="0"/>
        <v>1415</v>
      </c>
      <c r="M4" s="312">
        <f t="shared" si="0"/>
        <v>1416</v>
      </c>
      <c r="N4" s="312">
        <f t="shared" si="0"/>
        <v>1417</v>
      </c>
      <c r="O4" s="312">
        <f t="shared" si="0"/>
        <v>1418</v>
      </c>
      <c r="P4" s="312">
        <f>+O4+1</f>
        <v>1419</v>
      </c>
      <c r="Q4" s="313">
        <f>+P4+1</f>
        <v>1420</v>
      </c>
    </row>
    <row r="5" spans="2:17" ht="20.149999999999999" thickBot="1" x14ac:dyDescent="0.8">
      <c r="B5" s="507" t="s">
        <v>424</v>
      </c>
      <c r="C5" s="345">
        <v>0</v>
      </c>
      <c r="D5" s="345">
        <v>0.98</v>
      </c>
      <c r="E5" s="345">
        <v>1</v>
      </c>
      <c r="F5" s="345">
        <v>0.99</v>
      </c>
      <c r="G5" s="345">
        <v>0.98</v>
      </c>
      <c r="H5" s="345">
        <v>0.97</v>
      </c>
      <c r="I5" s="345">
        <v>0.96</v>
      </c>
      <c r="J5" s="345">
        <v>0.95</v>
      </c>
      <c r="K5" s="345">
        <v>0.94</v>
      </c>
      <c r="L5" s="345">
        <v>0.93</v>
      </c>
      <c r="M5" s="345">
        <v>0.92</v>
      </c>
      <c r="N5" s="345">
        <v>0.91</v>
      </c>
      <c r="O5" s="345">
        <v>0.9</v>
      </c>
      <c r="P5" s="345">
        <v>0.89</v>
      </c>
      <c r="Q5" s="508">
        <v>0.88</v>
      </c>
    </row>
    <row r="7" spans="2:17" ht="18.899999999999999" thickBot="1" x14ac:dyDescent="0.8"/>
    <row r="8" spans="2:17" ht="19.75" x14ac:dyDescent="0.75">
      <c r="B8" s="597" t="s">
        <v>5837</v>
      </c>
      <c r="C8" s="598"/>
      <c r="D8" s="598"/>
      <c r="E8" s="599"/>
    </row>
    <row r="9" spans="2:17" ht="19.75" x14ac:dyDescent="0.75">
      <c r="B9" s="271" t="s">
        <v>125</v>
      </c>
      <c r="C9" s="270" t="s">
        <v>38</v>
      </c>
      <c r="D9" s="270" t="s">
        <v>126</v>
      </c>
      <c r="E9" s="272" t="s">
        <v>128</v>
      </c>
    </row>
    <row r="10" spans="2:17" x14ac:dyDescent="0.75">
      <c r="B10" s="604" t="s">
        <v>68</v>
      </c>
      <c r="C10" s="605"/>
      <c r="D10" s="605"/>
      <c r="E10" s="606"/>
    </row>
    <row r="11" spans="2:17" x14ac:dyDescent="0.75">
      <c r="B11" s="223" t="s">
        <v>160</v>
      </c>
      <c r="C11" s="149" t="s">
        <v>93</v>
      </c>
      <c r="D11" s="252">
        <v>1.35E-2</v>
      </c>
      <c r="E11" s="253"/>
    </row>
    <row r="12" spans="2:17" x14ac:dyDescent="0.75">
      <c r="B12" s="223" t="s">
        <v>161</v>
      </c>
      <c r="C12" s="149" t="s">
        <v>93</v>
      </c>
      <c r="D12" s="252">
        <v>8.0000000000000004E-4</v>
      </c>
      <c r="E12" s="253"/>
    </row>
    <row r="13" spans="2:17" x14ac:dyDescent="0.75">
      <c r="B13" s="223" t="s">
        <v>162</v>
      </c>
      <c r="C13" s="149" t="s">
        <v>93</v>
      </c>
      <c r="D13" s="252">
        <v>6.9999999999999999E-4</v>
      </c>
      <c r="E13" s="253"/>
    </row>
    <row r="14" spans="2:17" x14ac:dyDescent="0.75">
      <c r="B14" s="609" t="s">
        <v>153</v>
      </c>
      <c r="C14" s="610"/>
      <c r="D14" s="610"/>
      <c r="E14" s="611"/>
    </row>
    <row r="15" spans="2:17" x14ac:dyDescent="0.75">
      <c r="B15" s="223" t="s">
        <v>164</v>
      </c>
      <c r="C15" s="149" t="s">
        <v>93</v>
      </c>
      <c r="D15" s="252">
        <v>3.7499999999999999E-3</v>
      </c>
      <c r="E15" s="253"/>
    </row>
    <row r="16" spans="2:17" x14ac:dyDescent="0.75">
      <c r="B16" s="223" t="s">
        <v>165</v>
      </c>
      <c r="C16" s="149" t="s">
        <v>93</v>
      </c>
      <c r="D16" s="252">
        <v>0.33750000000000002</v>
      </c>
      <c r="E16" s="253"/>
    </row>
    <row r="17" spans="2:5" x14ac:dyDescent="0.75">
      <c r="B17" s="223" t="s">
        <v>166</v>
      </c>
      <c r="C17" s="149" t="s">
        <v>93</v>
      </c>
      <c r="D17" s="252">
        <v>0.1875</v>
      </c>
      <c r="E17" s="253"/>
    </row>
    <row r="18" spans="2:5" x14ac:dyDescent="0.75">
      <c r="B18" s="223" t="s">
        <v>167</v>
      </c>
      <c r="C18" s="149" t="s">
        <v>93</v>
      </c>
      <c r="D18" s="252">
        <v>7.8750000000000001E-2</v>
      </c>
      <c r="E18" s="253"/>
    </row>
    <row r="19" spans="2:5" x14ac:dyDescent="0.75">
      <c r="B19" s="223" t="s">
        <v>168</v>
      </c>
      <c r="C19" s="149" t="s">
        <v>93</v>
      </c>
      <c r="D19" s="252">
        <v>0.14249999999999999</v>
      </c>
      <c r="E19" s="253"/>
    </row>
    <row r="20" spans="2:5" x14ac:dyDescent="0.75">
      <c r="B20" s="609" t="s">
        <v>154</v>
      </c>
      <c r="C20" s="610"/>
      <c r="D20" s="610"/>
      <c r="E20" s="611"/>
    </row>
    <row r="21" spans="2:5" x14ac:dyDescent="0.75">
      <c r="B21" s="223" t="s">
        <v>170</v>
      </c>
      <c r="C21" s="149" t="s">
        <v>93</v>
      </c>
      <c r="D21" s="252">
        <v>5.0000000000000001E-3</v>
      </c>
      <c r="E21" s="253"/>
    </row>
    <row r="22" spans="2:5" x14ac:dyDescent="0.75">
      <c r="B22" s="223" t="s">
        <v>171</v>
      </c>
      <c r="C22" s="149" t="s">
        <v>93</v>
      </c>
      <c r="D22" s="252">
        <v>0.03</v>
      </c>
      <c r="E22" s="253"/>
    </row>
    <row r="23" spans="2:5" x14ac:dyDescent="0.75">
      <c r="B23" s="223" t="s">
        <v>172</v>
      </c>
      <c r="C23" s="149" t="s">
        <v>93</v>
      </c>
      <c r="D23" s="252">
        <v>2.2499999999999999E-2</v>
      </c>
      <c r="E23" s="253"/>
    </row>
    <row r="24" spans="2:5" x14ac:dyDescent="0.75">
      <c r="B24" s="223" t="s">
        <v>173</v>
      </c>
      <c r="C24" s="149" t="s">
        <v>93</v>
      </c>
      <c r="D24" s="252">
        <v>1.2999999999999999E-3</v>
      </c>
      <c r="E24" s="253"/>
    </row>
    <row r="25" spans="2:5" x14ac:dyDescent="0.75">
      <c r="B25" s="223" t="s">
        <v>174</v>
      </c>
      <c r="C25" s="149" t="s">
        <v>93</v>
      </c>
      <c r="D25" s="252">
        <v>3.7499999999999999E-2</v>
      </c>
      <c r="E25" s="253"/>
    </row>
    <row r="26" spans="2:5" x14ac:dyDescent="0.75">
      <c r="B26" s="223" t="s">
        <v>165</v>
      </c>
      <c r="C26" s="149" t="s">
        <v>93</v>
      </c>
      <c r="D26" s="252">
        <v>4.4999999999999998E-2</v>
      </c>
      <c r="E26" s="253"/>
    </row>
    <row r="27" spans="2:5" x14ac:dyDescent="0.75">
      <c r="B27" s="223" t="s">
        <v>175</v>
      </c>
      <c r="C27" s="149" t="s">
        <v>93</v>
      </c>
      <c r="D27" s="252">
        <v>1.1999999999999999E-3</v>
      </c>
      <c r="E27" s="253"/>
    </row>
    <row r="28" spans="2:5" x14ac:dyDescent="0.75">
      <c r="B28" s="223" t="s">
        <v>167</v>
      </c>
      <c r="C28" s="149" t="s">
        <v>93</v>
      </c>
      <c r="D28" s="252">
        <v>0.03</v>
      </c>
      <c r="E28" s="253"/>
    </row>
    <row r="29" spans="2:5" x14ac:dyDescent="0.75">
      <c r="B29" s="223" t="s">
        <v>176</v>
      </c>
      <c r="C29" s="149" t="s">
        <v>93</v>
      </c>
      <c r="D29" s="252">
        <v>3.7499999999999999E-2</v>
      </c>
      <c r="E29" s="253"/>
    </row>
    <row r="30" spans="2:5" x14ac:dyDescent="0.75">
      <c r="B30" s="609" t="s">
        <v>155</v>
      </c>
      <c r="C30" s="610"/>
      <c r="D30" s="610"/>
      <c r="E30" s="611"/>
    </row>
    <row r="31" spans="2:5" x14ac:dyDescent="0.75">
      <c r="B31" s="223" t="s">
        <v>155</v>
      </c>
      <c r="C31" s="149" t="s">
        <v>93</v>
      </c>
      <c r="D31" s="252">
        <v>0.01</v>
      </c>
      <c r="E31" s="253"/>
    </row>
    <row r="32" spans="2:5" x14ac:dyDescent="0.75">
      <c r="B32" s="609" t="s">
        <v>156</v>
      </c>
      <c r="C32" s="610"/>
      <c r="D32" s="610"/>
      <c r="E32" s="611"/>
    </row>
    <row r="33" spans="2:10" ht="18.899999999999999" thickBot="1" x14ac:dyDescent="0.8">
      <c r="B33" s="227" t="s">
        <v>156</v>
      </c>
      <c r="C33" s="153" t="s">
        <v>93</v>
      </c>
      <c r="D33" s="256">
        <v>1.4999999999999999E-2</v>
      </c>
      <c r="E33" s="257"/>
    </row>
    <row r="35" spans="2:10" ht="11.7" customHeight="1" thickBot="1" x14ac:dyDescent="0.8"/>
    <row r="36" spans="2:10" ht="19.75" x14ac:dyDescent="0.75">
      <c r="B36" s="597" t="s">
        <v>5838</v>
      </c>
      <c r="C36" s="598"/>
      <c r="D36" s="598"/>
      <c r="E36" s="599"/>
    </row>
    <row r="37" spans="2:10" ht="19.75" x14ac:dyDescent="0.75">
      <c r="B37" s="271" t="s">
        <v>125</v>
      </c>
      <c r="C37" s="270" t="s">
        <v>38</v>
      </c>
      <c r="D37" s="270" t="s">
        <v>126</v>
      </c>
      <c r="E37" s="272" t="s">
        <v>128</v>
      </c>
    </row>
    <row r="38" spans="2:10" x14ac:dyDescent="0.75">
      <c r="B38" s="604" t="s">
        <v>68</v>
      </c>
      <c r="C38" s="605"/>
      <c r="D38" s="605"/>
      <c r="E38" s="606"/>
    </row>
    <row r="39" spans="2:10" x14ac:dyDescent="0.75">
      <c r="B39" s="223" t="s">
        <v>353</v>
      </c>
      <c r="C39" s="149" t="s">
        <v>93</v>
      </c>
      <c r="D39" s="347">
        <v>2E-3</v>
      </c>
      <c r="E39" s="253"/>
    </row>
    <row r="40" spans="2:10" x14ac:dyDescent="0.75">
      <c r="B40" s="609" t="s">
        <v>153</v>
      </c>
      <c r="C40" s="610"/>
      <c r="D40" s="610"/>
      <c r="E40" s="611"/>
    </row>
    <row r="41" spans="2:10" x14ac:dyDescent="0.75">
      <c r="B41" s="223" t="s">
        <v>165</v>
      </c>
      <c r="C41" s="149" t="s">
        <v>93</v>
      </c>
      <c r="D41" s="347">
        <v>0.75</v>
      </c>
      <c r="E41" s="253"/>
    </row>
    <row r="42" spans="2:10" x14ac:dyDescent="0.75">
      <c r="B42" s="223" t="s">
        <v>167</v>
      </c>
      <c r="C42" s="149" t="s">
        <v>93</v>
      </c>
      <c r="D42" s="347">
        <v>0.12</v>
      </c>
      <c r="E42" s="253"/>
      <c r="J42" s="539"/>
    </row>
    <row r="43" spans="2:10" x14ac:dyDescent="0.75">
      <c r="B43" s="223" t="s">
        <v>352</v>
      </c>
      <c r="C43" s="149" t="s">
        <v>93</v>
      </c>
      <c r="D43" s="347">
        <v>0.04</v>
      </c>
      <c r="E43" s="253"/>
    </row>
    <row r="44" spans="2:10" x14ac:dyDescent="0.75">
      <c r="B44" s="223" t="s">
        <v>354</v>
      </c>
      <c r="C44" s="149" t="s">
        <v>93</v>
      </c>
      <c r="D44" s="347">
        <v>0.02</v>
      </c>
      <c r="E44" s="253"/>
    </row>
    <row r="45" spans="2:10" x14ac:dyDescent="0.75">
      <c r="B45" s="609" t="s">
        <v>356</v>
      </c>
      <c r="C45" s="610"/>
      <c r="D45" s="610"/>
      <c r="E45" s="611"/>
    </row>
    <row r="46" spans="2:10" x14ac:dyDescent="0.75">
      <c r="B46" s="223" t="s">
        <v>170</v>
      </c>
      <c r="C46" s="149" t="s">
        <v>93</v>
      </c>
      <c r="D46" s="347">
        <v>0.01</v>
      </c>
      <c r="E46" s="253"/>
    </row>
    <row r="47" spans="2:10" x14ac:dyDescent="0.75">
      <c r="B47" s="223" t="s">
        <v>355</v>
      </c>
      <c r="C47" s="149" t="s">
        <v>93</v>
      </c>
      <c r="D47" s="347">
        <v>5.0000000000000001E-3</v>
      </c>
      <c r="E47" s="253"/>
    </row>
    <row r="48" spans="2:10" x14ac:dyDescent="0.75">
      <c r="B48" s="223" t="s">
        <v>172</v>
      </c>
      <c r="C48" s="149" t="s">
        <v>93</v>
      </c>
      <c r="D48" s="347">
        <v>1E-3</v>
      </c>
      <c r="E48" s="253"/>
    </row>
    <row r="49" spans="2:5" x14ac:dyDescent="0.75">
      <c r="B49" s="223" t="s">
        <v>357</v>
      </c>
      <c r="C49" s="149" t="s">
        <v>93</v>
      </c>
      <c r="D49" s="347">
        <v>1.2E-2</v>
      </c>
      <c r="E49" s="253"/>
    </row>
    <row r="50" spans="2:5" x14ac:dyDescent="0.75">
      <c r="B50" s="223" t="s">
        <v>358</v>
      </c>
      <c r="C50" s="149" t="s">
        <v>93</v>
      </c>
      <c r="D50" s="347">
        <v>5.0000000000000001E-3</v>
      </c>
      <c r="E50" s="253"/>
    </row>
    <row r="51" spans="2:5" x14ac:dyDescent="0.75">
      <c r="B51" s="223" t="s">
        <v>359</v>
      </c>
      <c r="C51" s="149" t="s">
        <v>93</v>
      </c>
      <c r="D51" s="347">
        <v>2E-3</v>
      </c>
      <c r="E51" s="253"/>
    </row>
    <row r="52" spans="2:5" x14ac:dyDescent="0.75">
      <c r="B52" s="223" t="s">
        <v>360</v>
      </c>
      <c r="C52" s="149" t="s">
        <v>93</v>
      </c>
      <c r="D52" s="347">
        <v>2E-3</v>
      </c>
      <c r="E52" s="253"/>
    </row>
    <row r="53" spans="2:5" x14ac:dyDescent="0.75">
      <c r="B53" s="223" t="s">
        <v>361</v>
      </c>
      <c r="C53" s="149" t="s">
        <v>93</v>
      </c>
      <c r="D53" s="347">
        <v>3.0000000000000001E-3</v>
      </c>
      <c r="E53" s="253"/>
    </row>
    <row r="54" spans="2:5" x14ac:dyDescent="0.75">
      <c r="B54" s="609" t="s">
        <v>155</v>
      </c>
      <c r="C54" s="610"/>
      <c r="D54" s="610"/>
      <c r="E54" s="611"/>
    </row>
    <row r="55" spans="2:5" x14ac:dyDescent="0.75">
      <c r="B55" s="223" t="s">
        <v>362</v>
      </c>
      <c r="C55" s="149" t="s">
        <v>93</v>
      </c>
      <c r="D55" s="347">
        <v>2E-3</v>
      </c>
      <c r="E55" s="253"/>
    </row>
    <row r="56" spans="2:5" x14ac:dyDescent="0.75">
      <c r="B56" s="223" t="s">
        <v>363</v>
      </c>
      <c r="C56" s="149" t="s">
        <v>93</v>
      </c>
      <c r="D56" s="347">
        <v>3.0000000000000001E-3</v>
      </c>
      <c r="E56" s="253"/>
    </row>
    <row r="57" spans="2:5" x14ac:dyDescent="0.75">
      <c r="B57" s="223" t="s">
        <v>364</v>
      </c>
      <c r="C57" s="149" t="s">
        <v>93</v>
      </c>
      <c r="D57" s="347">
        <v>3.0000000000000001E-3</v>
      </c>
      <c r="E57" s="253"/>
    </row>
    <row r="58" spans="2:5" x14ac:dyDescent="0.75">
      <c r="B58" s="609" t="s">
        <v>156</v>
      </c>
      <c r="C58" s="610"/>
      <c r="D58" s="610"/>
      <c r="E58" s="611"/>
    </row>
    <row r="59" spans="2:5" x14ac:dyDescent="0.75">
      <c r="B59" s="223" t="s">
        <v>365</v>
      </c>
      <c r="C59" s="149" t="s">
        <v>93</v>
      </c>
      <c r="D59" s="347">
        <v>0.01</v>
      </c>
      <c r="E59" s="253"/>
    </row>
    <row r="60" spans="2:5" x14ac:dyDescent="0.75">
      <c r="B60" s="223" t="s">
        <v>366</v>
      </c>
      <c r="C60" s="149" t="s">
        <v>93</v>
      </c>
      <c r="D60" s="347">
        <v>3.0000000000000001E-3</v>
      </c>
      <c r="E60" s="253"/>
    </row>
    <row r="61" spans="2:5" x14ac:dyDescent="0.75">
      <c r="B61" s="223" t="s">
        <v>367</v>
      </c>
      <c r="C61" s="149" t="s">
        <v>93</v>
      </c>
      <c r="D61" s="347">
        <v>2E-3</v>
      </c>
      <c r="E61" s="253"/>
    </row>
    <row r="62" spans="2:5" ht="18.899999999999999" thickBot="1" x14ac:dyDescent="0.8">
      <c r="B62" s="227" t="s">
        <v>368</v>
      </c>
      <c r="C62" s="153" t="s">
        <v>93</v>
      </c>
      <c r="D62" s="348">
        <v>5.0000000000000001E-3</v>
      </c>
      <c r="E62" s="257"/>
    </row>
    <row r="63" spans="2:5" x14ac:dyDescent="0.75">
      <c r="B63" s="93"/>
      <c r="C63" s="93"/>
      <c r="D63" s="488"/>
      <c r="E63" s="489"/>
    </row>
    <row r="64" spans="2:5" ht="18.899999999999999" thickBot="1" x14ac:dyDescent="0.8">
      <c r="B64" s="93"/>
      <c r="C64" s="93"/>
      <c r="D64" s="488"/>
      <c r="E64" s="489"/>
    </row>
    <row r="65" spans="1:13" ht="19.75" x14ac:dyDescent="0.75">
      <c r="B65" s="597" t="s">
        <v>5839</v>
      </c>
      <c r="C65" s="598"/>
      <c r="D65" s="598"/>
      <c r="E65" s="599"/>
    </row>
    <row r="66" spans="1:13" ht="19.850000000000001" customHeight="1" x14ac:dyDescent="0.75">
      <c r="B66" s="271" t="s">
        <v>125</v>
      </c>
      <c r="C66" s="270" t="s">
        <v>38</v>
      </c>
      <c r="D66" s="270" t="s">
        <v>126</v>
      </c>
      <c r="E66" s="272" t="s">
        <v>128</v>
      </c>
    </row>
    <row r="67" spans="1:13" ht="19.850000000000001" customHeight="1" x14ac:dyDescent="0.75">
      <c r="B67" s="604" t="s">
        <v>5831</v>
      </c>
      <c r="C67" s="605"/>
      <c r="D67" s="605"/>
      <c r="E67" s="606"/>
    </row>
    <row r="68" spans="1:13" ht="19.850000000000001" customHeight="1" x14ac:dyDescent="0.75">
      <c r="B68" s="223" t="s">
        <v>5833</v>
      </c>
      <c r="C68" s="149" t="s">
        <v>5834</v>
      </c>
      <c r="D68" s="230">
        <v>5000</v>
      </c>
      <c r="E68" s="253"/>
    </row>
    <row r="69" spans="1:13" ht="19.850000000000001" customHeight="1" x14ac:dyDescent="0.75">
      <c r="B69" s="604" t="s">
        <v>68</v>
      </c>
      <c r="C69" s="605"/>
      <c r="D69" s="605"/>
      <c r="E69" s="606"/>
    </row>
    <row r="70" spans="1:13" ht="19.850000000000001" customHeight="1" x14ac:dyDescent="0.75">
      <c r="B70" s="223" t="s">
        <v>5832</v>
      </c>
      <c r="C70" s="149" t="s">
        <v>5835</v>
      </c>
      <c r="D70" s="230">
        <v>300000</v>
      </c>
      <c r="E70" s="253"/>
    </row>
    <row r="71" spans="1:13" ht="19.850000000000001" customHeight="1" x14ac:dyDescent="0.75"/>
    <row r="72" spans="1:13" ht="19.850000000000001" customHeight="1" thickBot="1" x14ac:dyDescent="0.8"/>
    <row r="73" spans="1:13" ht="19.75" x14ac:dyDescent="0.75">
      <c r="B73" s="597" t="s">
        <v>5840</v>
      </c>
      <c r="C73" s="598"/>
      <c r="D73" s="598"/>
      <c r="E73" s="599"/>
    </row>
    <row r="74" spans="1:13" ht="19.75" x14ac:dyDescent="0.75">
      <c r="B74" s="271" t="s">
        <v>125</v>
      </c>
      <c r="C74" s="270" t="s">
        <v>38</v>
      </c>
      <c r="D74" s="270" t="s">
        <v>126</v>
      </c>
      <c r="E74" s="272" t="s">
        <v>128</v>
      </c>
    </row>
    <row r="75" spans="1:13" x14ac:dyDescent="0.75">
      <c r="B75" s="604" t="s">
        <v>68</v>
      </c>
      <c r="C75" s="605"/>
      <c r="D75" s="605"/>
      <c r="E75" s="606"/>
    </row>
    <row r="76" spans="1:13" x14ac:dyDescent="0.75">
      <c r="B76" s="223" t="s">
        <v>379</v>
      </c>
      <c r="C76" s="149" t="s">
        <v>93</v>
      </c>
      <c r="D76" s="347">
        <v>1E-3</v>
      </c>
      <c r="E76" s="253"/>
    </row>
    <row r="77" spans="1:13" x14ac:dyDescent="0.75">
      <c r="B77" s="223" t="s">
        <v>380</v>
      </c>
      <c r="C77" s="149" t="s">
        <v>93</v>
      </c>
      <c r="D77" s="347">
        <v>1E-3</v>
      </c>
      <c r="E77" s="253"/>
    </row>
    <row r="78" spans="1:13" x14ac:dyDescent="0.75">
      <c r="B78" s="609" t="s">
        <v>153</v>
      </c>
      <c r="C78" s="610"/>
      <c r="D78" s="610"/>
      <c r="E78" s="611"/>
    </row>
    <row r="79" spans="1:13" x14ac:dyDescent="0.75">
      <c r="B79" s="223" t="s">
        <v>381</v>
      </c>
      <c r="C79" s="149" t="s">
        <v>93</v>
      </c>
      <c r="D79" s="347">
        <v>0.95</v>
      </c>
      <c r="E79" s="253"/>
    </row>
    <row r="80" spans="1:13" x14ac:dyDescent="0.75">
      <c r="A80" s="23" t="s">
        <v>5939</v>
      </c>
      <c r="B80" s="223" t="s">
        <v>382</v>
      </c>
      <c r="C80" s="149" t="s">
        <v>93</v>
      </c>
      <c r="D80" s="347">
        <v>0.01</v>
      </c>
      <c r="E80" s="253"/>
      <c r="M80" s="538"/>
    </row>
    <row r="81" spans="2:5" x14ac:dyDescent="0.75">
      <c r="B81" s="223" t="s">
        <v>383</v>
      </c>
      <c r="C81" s="149" t="s">
        <v>93</v>
      </c>
      <c r="D81" s="347">
        <v>5.0000000000000001E-3</v>
      </c>
      <c r="E81" s="253"/>
    </row>
    <row r="82" spans="2:5" x14ac:dyDescent="0.75">
      <c r="B82" s="609" t="s">
        <v>356</v>
      </c>
      <c r="C82" s="610"/>
      <c r="D82" s="610"/>
      <c r="E82" s="611"/>
    </row>
    <row r="83" spans="2:5" x14ac:dyDescent="0.75">
      <c r="B83" s="223" t="s">
        <v>384</v>
      </c>
      <c r="C83" s="149" t="s">
        <v>93</v>
      </c>
      <c r="D83" s="347">
        <v>5.0000000000000001E-3</v>
      </c>
      <c r="E83" s="253"/>
    </row>
    <row r="84" spans="2:5" x14ac:dyDescent="0.75">
      <c r="B84" s="223" t="s">
        <v>385</v>
      </c>
      <c r="C84" s="149" t="s">
        <v>93</v>
      </c>
      <c r="D84" s="347">
        <v>5.0000000000000001E-3</v>
      </c>
      <c r="E84" s="253"/>
    </row>
    <row r="85" spans="2:5" x14ac:dyDescent="0.75">
      <c r="B85" s="223" t="s">
        <v>386</v>
      </c>
      <c r="C85" s="149" t="s">
        <v>93</v>
      </c>
      <c r="D85" s="347">
        <v>3.0000000000000001E-3</v>
      </c>
      <c r="E85" s="253"/>
    </row>
    <row r="86" spans="2:5" x14ac:dyDescent="0.75">
      <c r="B86" s="223" t="s">
        <v>387</v>
      </c>
      <c r="C86" s="149" t="s">
        <v>93</v>
      </c>
      <c r="D86" s="347">
        <v>1.4999999999999999E-2</v>
      </c>
      <c r="E86" s="253"/>
    </row>
    <row r="87" spans="2:5" x14ac:dyDescent="0.75">
      <c r="B87" s="609" t="s">
        <v>155</v>
      </c>
      <c r="C87" s="610"/>
      <c r="D87" s="610"/>
      <c r="E87" s="611"/>
    </row>
    <row r="88" spans="2:5" x14ac:dyDescent="0.75">
      <c r="B88" s="223" t="s">
        <v>388</v>
      </c>
      <c r="C88" s="149" t="s">
        <v>93</v>
      </c>
      <c r="D88" s="347">
        <v>2E-3</v>
      </c>
      <c r="E88" s="253"/>
    </row>
    <row r="89" spans="2:5" x14ac:dyDescent="0.75">
      <c r="B89" s="223" t="s">
        <v>389</v>
      </c>
      <c r="C89" s="149" t="s">
        <v>93</v>
      </c>
      <c r="D89" s="347">
        <v>1E-3</v>
      </c>
      <c r="E89" s="253"/>
    </row>
    <row r="90" spans="2:5" x14ac:dyDescent="0.75">
      <c r="B90" s="609" t="s">
        <v>156</v>
      </c>
      <c r="C90" s="610"/>
      <c r="D90" s="610"/>
      <c r="E90" s="611"/>
    </row>
    <row r="91" spans="2:5" x14ac:dyDescent="0.75">
      <c r="B91" s="223" t="s">
        <v>390</v>
      </c>
      <c r="C91" s="149" t="s">
        <v>93</v>
      </c>
      <c r="D91" s="347">
        <v>1E-3</v>
      </c>
      <c r="E91" s="253"/>
    </row>
    <row r="92" spans="2:5" ht="18.899999999999999" thickBot="1" x14ac:dyDescent="0.8">
      <c r="B92" s="227" t="s">
        <v>368</v>
      </c>
      <c r="C92" s="153" t="s">
        <v>93</v>
      </c>
      <c r="D92" s="348">
        <v>1E-3</v>
      </c>
      <c r="E92" s="257"/>
    </row>
    <row r="94" spans="2:5" ht="18.899999999999999" thickBot="1" x14ac:dyDescent="0.8"/>
    <row r="95" spans="2:5" ht="19.75" x14ac:dyDescent="0.75">
      <c r="B95" s="597" t="s">
        <v>442</v>
      </c>
      <c r="C95" s="598"/>
      <c r="D95" s="598"/>
      <c r="E95" s="599"/>
    </row>
    <row r="96" spans="2:5" ht="19.75" x14ac:dyDescent="0.75">
      <c r="B96" s="271" t="s">
        <v>125</v>
      </c>
      <c r="C96" s="270" t="s">
        <v>38</v>
      </c>
      <c r="D96" s="270" t="s">
        <v>126</v>
      </c>
      <c r="E96" s="272" t="s">
        <v>128</v>
      </c>
    </row>
    <row r="97" spans="2:5" x14ac:dyDescent="0.75">
      <c r="B97" s="251" t="s">
        <v>430</v>
      </c>
      <c r="C97" s="252" t="s">
        <v>429</v>
      </c>
      <c r="D97" s="254">
        <v>1.6</v>
      </c>
      <c r="E97" s="253"/>
    </row>
    <row r="98" spans="2:5" x14ac:dyDescent="0.75">
      <c r="B98" s="251" t="s">
        <v>432</v>
      </c>
      <c r="C98" s="252" t="s">
        <v>428</v>
      </c>
      <c r="D98" s="254">
        <v>2</v>
      </c>
      <c r="E98" s="253"/>
    </row>
    <row r="99" spans="2:5" x14ac:dyDescent="0.75">
      <c r="B99" s="251" t="s">
        <v>433</v>
      </c>
      <c r="C99" s="252" t="s">
        <v>431</v>
      </c>
      <c r="D99" s="254">
        <v>4.2</v>
      </c>
      <c r="E99" s="253"/>
    </row>
    <row r="100" spans="2:5" x14ac:dyDescent="0.75">
      <c r="B100" s="251" t="s">
        <v>434</v>
      </c>
      <c r="C100" s="252" t="s">
        <v>431</v>
      </c>
      <c r="D100" s="254">
        <v>1.8</v>
      </c>
      <c r="E100" s="253"/>
    </row>
    <row r="101" spans="2:5" x14ac:dyDescent="0.75">
      <c r="B101" s="251" t="s">
        <v>435</v>
      </c>
      <c r="C101" s="252" t="s">
        <v>486</v>
      </c>
      <c r="D101" s="302">
        <v>0.15</v>
      </c>
      <c r="E101" s="253"/>
    </row>
    <row r="102" spans="2:5" x14ac:dyDescent="0.75">
      <c r="B102" s="251" t="s">
        <v>436</v>
      </c>
      <c r="C102" s="252" t="s">
        <v>437</v>
      </c>
      <c r="D102" s="254">
        <v>0.1</v>
      </c>
      <c r="E102" s="253"/>
    </row>
    <row r="103" spans="2:5" x14ac:dyDescent="0.75">
      <c r="B103" s="251" t="s">
        <v>456</v>
      </c>
      <c r="C103" s="252" t="s">
        <v>0</v>
      </c>
      <c r="D103" s="302">
        <v>0.65</v>
      </c>
      <c r="E103" s="253"/>
    </row>
    <row r="104" spans="2:5" x14ac:dyDescent="0.75">
      <c r="B104" s="251" t="s">
        <v>457</v>
      </c>
      <c r="C104" s="252" t="s">
        <v>0</v>
      </c>
      <c r="D104" s="302">
        <v>1</v>
      </c>
      <c r="E104" s="253"/>
    </row>
    <row r="105" spans="2:5" x14ac:dyDescent="0.75">
      <c r="B105" s="251" t="s">
        <v>438</v>
      </c>
      <c r="C105" s="252" t="s">
        <v>439</v>
      </c>
      <c r="D105" s="349">
        <v>1</v>
      </c>
      <c r="E105" s="253"/>
    </row>
    <row r="106" spans="2:5" x14ac:dyDescent="0.75">
      <c r="B106" s="251" t="s">
        <v>440</v>
      </c>
      <c r="C106" s="252" t="s">
        <v>333</v>
      </c>
      <c r="D106" s="349">
        <v>0</v>
      </c>
      <c r="E106" s="253"/>
    </row>
    <row r="107" spans="2:5" ht="18.899999999999999" thickBot="1" x14ac:dyDescent="0.8">
      <c r="B107" s="255" t="s">
        <v>63</v>
      </c>
      <c r="C107" s="256" t="s">
        <v>441</v>
      </c>
      <c r="D107" s="303">
        <v>5</v>
      </c>
      <c r="E107" s="257"/>
    </row>
    <row r="108" spans="2:5" x14ac:dyDescent="0.75">
      <c r="B108" s="489"/>
      <c r="C108" s="489"/>
      <c r="D108" s="491"/>
      <c r="E108" s="489"/>
    </row>
    <row r="109" spans="2:5" ht="18.899999999999999" thickBot="1" x14ac:dyDescent="0.8">
      <c r="B109" s="489"/>
      <c r="C109" s="489"/>
      <c r="D109" s="491"/>
      <c r="E109" s="489"/>
    </row>
    <row r="110" spans="2:5" ht="19.75" x14ac:dyDescent="0.75">
      <c r="B110" s="597" t="s">
        <v>462</v>
      </c>
      <c r="C110" s="598"/>
      <c r="D110" s="598"/>
      <c r="E110" s="599"/>
    </row>
    <row r="111" spans="2:5" ht="19.75" x14ac:dyDescent="0.75">
      <c r="B111" s="271" t="s">
        <v>125</v>
      </c>
      <c r="C111" s="270" t="s">
        <v>38</v>
      </c>
      <c r="D111" s="270" t="s">
        <v>126</v>
      </c>
      <c r="E111" s="272" t="s">
        <v>128</v>
      </c>
    </row>
    <row r="112" spans="2:5" ht="18.899999999999999" thickBot="1" x14ac:dyDescent="0.8">
      <c r="B112" s="227" t="s">
        <v>461</v>
      </c>
      <c r="C112" s="153" t="s">
        <v>0</v>
      </c>
      <c r="D112" s="303">
        <v>1</v>
      </c>
      <c r="E112" s="257"/>
    </row>
    <row r="113" spans="2:5" x14ac:dyDescent="0.75">
      <c r="B113" s="93"/>
      <c r="C113" s="93"/>
      <c r="D113" s="491"/>
      <c r="E113" s="489"/>
    </row>
    <row r="114" spans="2:5" ht="18.899999999999999" thickBot="1" x14ac:dyDescent="0.8"/>
    <row r="115" spans="2:5" ht="19.75" x14ac:dyDescent="0.75">
      <c r="B115" s="597" t="s">
        <v>5841</v>
      </c>
      <c r="C115" s="598"/>
      <c r="D115" s="598"/>
      <c r="E115" s="599"/>
    </row>
    <row r="116" spans="2:5" ht="19.75" x14ac:dyDescent="0.75">
      <c r="B116" s="271" t="s">
        <v>125</v>
      </c>
      <c r="C116" s="270" t="s">
        <v>38</v>
      </c>
      <c r="D116" s="270" t="s">
        <v>126</v>
      </c>
      <c r="E116" s="272" t="s">
        <v>128</v>
      </c>
    </row>
    <row r="117" spans="2:5" x14ac:dyDescent="0.75">
      <c r="B117" s="251" t="s">
        <v>5831</v>
      </c>
      <c r="C117" s="252" t="s">
        <v>5836</v>
      </c>
      <c r="D117" s="349">
        <v>33</v>
      </c>
      <c r="E117" s="253"/>
    </row>
    <row r="118" spans="2:5" ht="18.899999999999999" thickBot="1" x14ac:dyDescent="0.8">
      <c r="B118" s="255" t="s">
        <v>5842</v>
      </c>
      <c r="C118" s="256" t="s">
        <v>5843</v>
      </c>
      <c r="D118" s="303">
        <v>10</v>
      </c>
      <c r="E118" s="257"/>
    </row>
    <row r="119" spans="2:5" x14ac:dyDescent="0.75">
      <c r="B119" s="489"/>
      <c r="C119" s="489"/>
      <c r="D119" s="490"/>
      <c r="E119" s="489"/>
    </row>
    <row r="120" spans="2:5" ht="18.899999999999999" thickBot="1" x14ac:dyDescent="0.8">
      <c r="B120" s="489"/>
      <c r="C120" s="489"/>
      <c r="D120" s="490"/>
      <c r="E120" s="489"/>
    </row>
    <row r="121" spans="2:5" ht="19.75" x14ac:dyDescent="0.75">
      <c r="B121" s="597" t="s">
        <v>5890</v>
      </c>
      <c r="C121" s="598"/>
      <c r="D121" s="598"/>
      <c r="E121" s="599"/>
    </row>
    <row r="122" spans="2:5" ht="19.75" x14ac:dyDescent="0.75">
      <c r="B122" s="271" t="s">
        <v>125</v>
      </c>
      <c r="C122" s="270" t="s">
        <v>38</v>
      </c>
      <c r="D122" s="270" t="s">
        <v>126</v>
      </c>
      <c r="E122" s="272" t="s">
        <v>128</v>
      </c>
    </row>
    <row r="123" spans="2:5" x14ac:dyDescent="0.75">
      <c r="B123" s="251" t="s">
        <v>5891</v>
      </c>
      <c r="C123" s="252" t="s">
        <v>5894</v>
      </c>
      <c r="D123" s="254">
        <v>0.6</v>
      </c>
      <c r="E123" s="253"/>
    </row>
    <row r="124" spans="2:5" x14ac:dyDescent="0.75">
      <c r="B124" s="251" t="s">
        <v>5895</v>
      </c>
      <c r="C124" s="252" t="s">
        <v>5896</v>
      </c>
      <c r="D124" s="254">
        <v>3</v>
      </c>
      <c r="E124" s="253"/>
    </row>
    <row r="125" spans="2:5" ht="18.899999999999999" thickBot="1" x14ac:dyDescent="0.8">
      <c r="B125" s="255" t="s">
        <v>5912</v>
      </c>
      <c r="C125" s="256" t="s">
        <v>5914</v>
      </c>
      <c r="D125" s="303">
        <v>750</v>
      </c>
      <c r="E125" s="257"/>
    </row>
    <row r="126" spans="2:5" x14ac:dyDescent="0.75">
      <c r="B126" s="489"/>
      <c r="C126" s="489"/>
      <c r="D126" s="531"/>
      <c r="E126" s="489"/>
    </row>
    <row r="127" spans="2:5" ht="18.899999999999999" thickBot="1" x14ac:dyDescent="0.8"/>
    <row r="128" spans="2:5" ht="19.75" x14ac:dyDescent="0.75">
      <c r="B128" s="597" t="s">
        <v>453</v>
      </c>
      <c r="C128" s="598"/>
      <c r="D128" s="598"/>
      <c r="E128" s="599"/>
    </row>
    <row r="129" spans="2:5" ht="19.75" x14ac:dyDescent="0.75">
      <c r="B129" s="271" t="s">
        <v>125</v>
      </c>
      <c r="C129" s="270" t="s">
        <v>38</v>
      </c>
      <c r="D129" s="270" t="s">
        <v>126</v>
      </c>
      <c r="E129" s="272" t="s">
        <v>128</v>
      </c>
    </row>
    <row r="130" spans="2:5" x14ac:dyDescent="0.75">
      <c r="B130" s="251" t="s">
        <v>216</v>
      </c>
      <c r="C130" s="252" t="s">
        <v>416</v>
      </c>
      <c r="D130" s="302">
        <f>IF('داده‌های ورودی'!$D$21&gt;'برآوردهاي پايه'!$D$97,(('داده‌های ورودی'!$D$21/'برآوردهاي پايه'!$D$97)^'برآوردهاي پايه'!$D$103*$D$98/'داده‌های ورودی'!$D$21),(('داده‌های ورودی'!$D$21/'برآوردهاي پايه'!$D$97)^'برآوردهاي پايه'!$D$104*$D$98/'داده‌های ورودی'!$D$21))</f>
        <v>1.25</v>
      </c>
      <c r="E130" s="253"/>
    </row>
    <row r="131" spans="2:5" x14ac:dyDescent="0.75">
      <c r="B131" s="251" t="s">
        <v>5878</v>
      </c>
      <c r="C131" s="252" t="s">
        <v>416</v>
      </c>
      <c r="D131" s="302">
        <v>0.2</v>
      </c>
      <c r="E131" s="253"/>
    </row>
    <row r="132" spans="2:5" x14ac:dyDescent="0.75">
      <c r="B132" s="502" t="s">
        <v>525</v>
      </c>
      <c r="C132" s="503" t="s">
        <v>416</v>
      </c>
      <c r="D132" s="504">
        <f>SUM($D$130:$D$131)</f>
        <v>1.45</v>
      </c>
      <c r="E132" s="374"/>
    </row>
    <row r="133" spans="2:5" x14ac:dyDescent="0.75">
      <c r="B133" s="223" t="s">
        <v>417</v>
      </c>
      <c r="C133" s="149" t="s">
        <v>5782</v>
      </c>
      <c r="D133" s="349">
        <v>300</v>
      </c>
      <c r="E133" s="253" t="s">
        <v>5875</v>
      </c>
    </row>
    <row r="134" spans="2:5" x14ac:dyDescent="0.75">
      <c r="B134" s="251" t="s">
        <v>5830</v>
      </c>
      <c r="C134" s="252" t="s">
        <v>428</v>
      </c>
      <c r="D134" s="302">
        <f>($D$117*$D$68+$D$118*$D$70)*دلار</f>
        <v>2.1452463983244714</v>
      </c>
      <c r="E134" s="253"/>
    </row>
    <row r="135" spans="2:5" x14ac:dyDescent="0.75">
      <c r="B135" s="223" t="s">
        <v>5938</v>
      </c>
      <c r="C135" s="149" t="s">
        <v>5790</v>
      </c>
      <c r="D135" s="254">
        <v>3</v>
      </c>
      <c r="E135" s="253"/>
    </row>
    <row r="136" spans="2:5" ht="18.899999999999999" thickBot="1" x14ac:dyDescent="0.8">
      <c r="B136" s="227" t="s">
        <v>5879</v>
      </c>
      <c r="C136" s="153" t="s">
        <v>416</v>
      </c>
      <c r="D136" s="447">
        <f>2</f>
        <v>2</v>
      </c>
      <c r="E136" s="257"/>
    </row>
    <row r="150" spans="2:5" ht="19.75" x14ac:dyDescent="0.75">
      <c r="B150" s="76"/>
      <c r="C150" s="93"/>
      <c r="D150" s="94"/>
      <c r="E150" s="93"/>
    </row>
    <row r="151" spans="2:5" ht="19.75" x14ac:dyDescent="0.75">
      <c r="B151" s="76"/>
      <c r="C151" s="93"/>
      <c r="D151" s="94"/>
      <c r="E151" s="93"/>
    </row>
  </sheetData>
  <mergeCells count="29">
    <mergeCell ref="B45:E45"/>
    <mergeCell ref="B54:E54"/>
    <mergeCell ref="B58:E58"/>
    <mergeCell ref="B73:E73"/>
    <mergeCell ref="B128:E128"/>
    <mergeCell ref="B110:E110"/>
    <mergeCell ref="B75:E75"/>
    <mergeCell ref="B78:E78"/>
    <mergeCell ref="B82:E82"/>
    <mergeCell ref="B87:E87"/>
    <mergeCell ref="B90:E90"/>
    <mergeCell ref="B95:E95"/>
    <mergeCell ref="B121:E121"/>
    <mergeCell ref="H3:Q3"/>
    <mergeCell ref="B65:E65"/>
    <mergeCell ref="B67:E67"/>
    <mergeCell ref="B69:E69"/>
    <mergeCell ref="B115:E115"/>
    <mergeCell ref="B36:E36"/>
    <mergeCell ref="B8:E8"/>
    <mergeCell ref="B3:B4"/>
    <mergeCell ref="D3:G3"/>
    <mergeCell ref="B10:E10"/>
    <mergeCell ref="B14:E14"/>
    <mergeCell ref="B20:E20"/>
    <mergeCell ref="B30:E30"/>
    <mergeCell ref="B32:E32"/>
    <mergeCell ref="B38:E38"/>
    <mergeCell ref="B40:E40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05BA-DAE9-42EC-BA41-0E45F259AF27}">
  <sheetPr>
    <tabColor rgb="FF00FFFF"/>
  </sheetPr>
  <dimension ref="C2:S35"/>
  <sheetViews>
    <sheetView rightToLeft="1" topLeftCell="A10" zoomScaleNormal="10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9" style="18" customWidth="1"/>
    <col min="3" max="3" width="43.23046875" style="18" bestFit="1" customWidth="1"/>
    <col min="4" max="5" width="12.23046875" style="18" customWidth="1"/>
    <col min="6" max="19" width="15.765625" style="18" customWidth="1"/>
    <col min="20" max="16384" width="9" style="18"/>
  </cols>
  <sheetData>
    <row r="2" spans="3:19" ht="15.9" thickBot="1" x14ac:dyDescent="0.7"/>
    <row r="3" spans="3:19" ht="18" customHeight="1" x14ac:dyDescent="0.75">
      <c r="C3" s="607" t="s">
        <v>20</v>
      </c>
      <c r="D3" s="615" t="s">
        <v>93</v>
      </c>
      <c r="E3" s="310" t="str">
        <f>'داده‌های ورودی'!$B$6</f>
        <v>دوره ساخت</v>
      </c>
      <c r="F3" s="612" t="str">
        <f>'داده‌های ورودی'!$B$7</f>
        <v>دوره بهره‌برداري اول</v>
      </c>
      <c r="G3" s="612"/>
      <c r="H3" s="612"/>
      <c r="I3" s="612"/>
      <c r="J3" s="612" t="str">
        <f>'داده‌های ورودی'!$B$8</f>
        <v>دوره بهره‌برداري دوم</v>
      </c>
      <c r="K3" s="612"/>
      <c r="L3" s="612"/>
      <c r="M3" s="612"/>
      <c r="N3" s="612"/>
      <c r="O3" s="612"/>
      <c r="P3" s="612"/>
      <c r="Q3" s="612"/>
      <c r="R3" s="612"/>
      <c r="S3" s="614"/>
    </row>
    <row r="4" spans="3:19" ht="15.75" customHeight="1" x14ac:dyDescent="0.65">
      <c r="C4" s="608"/>
      <c r="D4" s="616"/>
      <c r="E4" s="312">
        <v>1406</v>
      </c>
      <c r="F4" s="312">
        <f t="shared" ref="F4" si="0">+E4+1</f>
        <v>1407</v>
      </c>
      <c r="G4" s="312">
        <f t="shared" ref="G4:S5" si="1">+F4+1</f>
        <v>1408</v>
      </c>
      <c r="H4" s="312">
        <f t="shared" si="1"/>
        <v>1409</v>
      </c>
      <c r="I4" s="312">
        <f t="shared" si="1"/>
        <v>1410</v>
      </c>
      <c r="J4" s="312">
        <f t="shared" si="1"/>
        <v>1411</v>
      </c>
      <c r="K4" s="312">
        <f t="shared" si="1"/>
        <v>1412</v>
      </c>
      <c r="L4" s="312">
        <f t="shared" si="1"/>
        <v>1413</v>
      </c>
      <c r="M4" s="312">
        <f t="shared" si="1"/>
        <v>1414</v>
      </c>
      <c r="N4" s="312">
        <f t="shared" si="1"/>
        <v>1415</v>
      </c>
      <c r="O4" s="312">
        <f t="shared" si="1"/>
        <v>1416</v>
      </c>
      <c r="P4" s="312">
        <f t="shared" si="1"/>
        <v>1417</v>
      </c>
      <c r="Q4" s="312">
        <f t="shared" si="1"/>
        <v>1418</v>
      </c>
      <c r="R4" s="312">
        <f t="shared" si="1"/>
        <v>1419</v>
      </c>
      <c r="S4" s="313">
        <f t="shared" si="1"/>
        <v>1420</v>
      </c>
    </row>
    <row r="5" spans="3:19" ht="15.75" customHeight="1" x14ac:dyDescent="0.65">
      <c r="C5" s="608" t="s">
        <v>427</v>
      </c>
      <c r="D5" s="613"/>
      <c r="E5" s="312">
        <v>0</v>
      </c>
      <c r="F5" s="312">
        <f>+E5+1</f>
        <v>1</v>
      </c>
      <c r="G5" s="312">
        <f t="shared" si="1"/>
        <v>2</v>
      </c>
      <c r="H5" s="312">
        <f t="shared" si="1"/>
        <v>3</v>
      </c>
      <c r="I5" s="312">
        <f t="shared" si="1"/>
        <v>4</v>
      </c>
      <c r="J5" s="312">
        <f t="shared" si="1"/>
        <v>5</v>
      </c>
      <c r="K5" s="312">
        <f t="shared" si="1"/>
        <v>6</v>
      </c>
      <c r="L5" s="312">
        <f t="shared" si="1"/>
        <v>7</v>
      </c>
      <c r="M5" s="312">
        <f t="shared" si="1"/>
        <v>8</v>
      </c>
      <c r="N5" s="312">
        <f t="shared" si="1"/>
        <v>9</v>
      </c>
      <c r="O5" s="312">
        <f t="shared" si="1"/>
        <v>10</v>
      </c>
      <c r="P5" s="312">
        <f t="shared" si="1"/>
        <v>11</v>
      </c>
      <c r="Q5" s="312">
        <f t="shared" si="1"/>
        <v>12</v>
      </c>
      <c r="R5" s="312">
        <f t="shared" si="1"/>
        <v>13</v>
      </c>
      <c r="S5" s="313">
        <f t="shared" si="1"/>
        <v>14</v>
      </c>
    </row>
    <row r="6" spans="3:19" ht="19.75" x14ac:dyDescent="0.85">
      <c r="C6" s="307" t="s">
        <v>94</v>
      </c>
      <c r="D6" s="304"/>
      <c r="E6" s="304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308"/>
    </row>
    <row r="7" spans="3:19" ht="18.45" x14ac:dyDescent="0.75">
      <c r="C7" s="309" t="str">
        <f>'هزینه‌های تولید'!$C$6</f>
        <v>مواد مصرفي</v>
      </c>
      <c r="D7" s="305">
        <v>1</v>
      </c>
      <c r="E7" s="306">
        <f>$D$7*'هزینه‌های تولید'!$D$6</f>
        <v>2195.947780364726</v>
      </c>
      <c r="F7" s="306">
        <f>$D$7*'هزینه‌های تولید'!$E$6</f>
        <v>844.20722752828965</v>
      </c>
      <c r="G7" s="306">
        <f>$D$7*'هزینه‌های تولید'!$F$6</f>
        <v>861.43594645743849</v>
      </c>
      <c r="H7" s="306">
        <f>$D$7*'هزینه‌های تولید'!$G$6</f>
        <v>852.82158699286413</v>
      </c>
      <c r="I7" s="306">
        <f>$D$7*'هزینه‌های تولید'!$H$6</f>
        <v>844.20722752828965</v>
      </c>
      <c r="J7" s="306">
        <f>$D$7*'هزینه‌های تولید'!$I$6</f>
        <v>835.59286806371529</v>
      </c>
      <c r="K7" s="306">
        <f>$D$7*'هزینه‌های تولید'!$J$6</f>
        <v>826.97850859914092</v>
      </c>
      <c r="L7" s="306">
        <f>$D$7*'هزینه‌های تولید'!$K$6</f>
        <v>818.36414913456656</v>
      </c>
      <c r="M7" s="306">
        <f>$D$7*'هزینه‌های تولید'!$L$6</f>
        <v>809.74978966999208</v>
      </c>
      <c r="N7" s="306">
        <f>$D$7*'هزینه‌های تولید'!$M$6</f>
        <v>801.13543020541783</v>
      </c>
      <c r="O7" s="306">
        <f>$D$7*'هزینه‌های تولید'!$N$6</f>
        <v>792.52107074084347</v>
      </c>
      <c r="P7" s="306">
        <f>$D$7*'هزینه‌های تولید'!$O$6</f>
        <v>783.90671127626911</v>
      </c>
      <c r="Q7" s="306">
        <f>$D$7*'هزینه‌های تولید'!$P$6</f>
        <v>775.29235181169463</v>
      </c>
      <c r="R7" s="306">
        <f>$D$7*'هزینه‌های تولید'!$Q$6</f>
        <v>766.67799234712027</v>
      </c>
      <c r="S7" s="306">
        <f>$D$7*'هزینه‌های تولید'!$R$6</f>
        <v>758.0636328825459</v>
      </c>
    </row>
    <row r="8" spans="3:19" ht="18.45" x14ac:dyDescent="0.75">
      <c r="C8" s="309" t="str">
        <f>'هزینه‌های تولید'!$C$7</f>
        <v>هزينه خريد گاز و یوتیلیتی</v>
      </c>
      <c r="D8" s="305">
        <v>0.8</v>
      </c>
      <c r="E8" s="306">
        <f>$D$8*'هزینه‌های تولید'!$D$7</f>
        <v>0</v>
      </c>
      <c r="F8" s="306">
        <f>$D$8*'هزینه‌های تولید'!$E$7</f>
        <v>30704.879842478593</v>
      </c>
      <c r="G8" s="306">
        <f>$D$8*'هزینه‌های تولید'!$F$7</f>
        <v>31331.510043345505</v>
      </c>
      <c r="H8" s="306">
        <f>$D$8*'هزینه‌های تولید'!$G$7</f>
        <v>31018.194942912047</v>
      </c>
      <c r="I8" s="306">
        <f>$D$8*'هزینه‌های تولید'!$H$7</f>
        <v>30704.879842478593</v>
      </c>
      <c r="J8" s="306">
        <f>$D$8*'هزینه‌های تولید'!$I$7</f>
        <v>30391.564742045135</v>
      </c>
      <c r="K8" s="306">
        <f>$D$8*'هزینه‌های تولید'!$J$7</f>
        <v>30078.249641611685</v>
      </c>
      <c r="L8" s="306">
        <f>$D$8*'هزینه‌های تولید'!$K$7</f>
        <v>29764.934541178227</v>
      </c>
      <c r="M8" s="306">
        <f>$D$8*'هزینه‌های تولید'!$L$7</f>
        <v>29451.619440744773</v>
      </c>
      <c r="N8" s="306">
        <f>$D$8*'هزینه‌های تولید'!$M$7</f>
        <v>29138.304340311322</v>
      </c>
      <c r="O8" s="306">
        <f>$D$8*'هزینه‌های تولید'!$N$7</f>
        <v>28824.989239877865</v>
      </c>
      <c r="P8" s="306">
        <f>$D$8*'هزینه‌های تولید'!$O$7</f>
        <v>28511.674139444411</v>
      </c>
      <c r="Q8" s="306">
        <f>$D$8*'هزینه‌های تولید'!$P$7</f>
        <v>28198.359039010953</v>
      </c>
      <c r="R8" s="306">
        <f>$D$8*'هزینه‌های تولید'!$Q$7</f>
        <v>27885.043938577495</v>
      </c>
      <c r="S8" s="306">
        <f>$D$8*'هزینه‌های تولید'!$R$7</f>
        <v>27571.728838144045</v>
      </c>
    </row>
    <row r="9" spans="3:19" ht="18.45" x14ac:dyDescent="0.75">
      <c r="C9" s="309" t="str">
        <f>'هزینه‌های تولید'!$C$8</f>
        <v>تعمير و نگهداري و قطعات يدكي</v>
      </c>
      <c r="D9" s="305">
        <v>0.2</v>
      </c>
      <c r="E9" s="306">
        <f>$D$9*'هزینه‌های تولید'!$D$8</f>
        <v>0</v>
      </c>
      <c r="F9" s="306">
        <f>$D$9*'هزینه‌های تولید'!$E$8</f>
        <v>18091.530348701461</v>
      </c>
      <c r="G9" s="306">
        <f>$D$9*'هزینه‌های تولید'!$F$8</f>
        <v>18460.745253777</v>
      </c>
      <c r="H9" s="306">
        <f>$D$9*'هزینه‌های تولید'!$G$8</f>
        <v>18276.137801239231</v>
      </c>
      <c r="I9" s="306">
        <f>$D$9*'هزینه‌های تولید'!$H$8</f>
        <v>18091.530348701461</v>
      </c>
      <c r="J9" s="306">
        <f>$D$9*'هزینه‌های تولید'!$I$8</f>
        <v>17906.922896163691</v>
      </c>
      <c r="K9" s="306">
        <f>$D$9*'هزینه‌های تولید'!$J$8</f>
        <v>17722.315443625921</v>
      </c>
      <c r="L9" s="306">
        <f>$D$9*'هزینه‌های تولید'!$K$8</f>
        <v>17537.707991088151</v>
      </c>
      <c r="M9" s="306">
        <f>$D$9*'هزینه‌های تولید'!$L$8</f>
        <v>17353.100538550378</v>
      </c>
      <c r="N9" s="306">
        <f>$D$9*'هزینه‌های تولید'!$M$8</f>
        <v>17168.493086012611</v>
      </c>
      <c r="O9" s="306">
        <f>$D$9*'هزینه‌های تولید'!$N$8</f>
        <v>16983.885633474842</v>
      </c>
      <c r="P9" s="306">
        <f>$D$9*'هزینه‌های تولید'!$O$8</f>
        <v>16799.278180937072</v>
      </c>
      <c r="Q9" s="306">
        <f>$D$9*'هزینه‌های تولید'!$P$8</f>
        <v>16614.670728399302</v>
      </c>
      <c r="R9" s="306">
        <f>$D$9*'هزینه‌های تولید'!$Q$8</f>
        <v>16430.063275861532</v>
      </c>
      <c r="S9" s="306">
        <f>$D$9*'هزینه‌های تولید'!$R$8</f>
        <v>16245.45582332376</v>
      </c>
    </row>
    <row r="10" spans="3:19" ht="18.45" x14ac:dyDescent="0.75">
      <c r="C10" s="309" t="str">
        <f>'هزینه‌های تولید'!$C$9</f>
        <v>پرسنل تولید</v>
      </c>
      <c r="D10" s="305">
        <v>0.3</v>
      </c>
      <c r="E10" s="306">
        <f>$D$10*'هزینه‌های تولید'!$D$9</f>
        <v>27585.225250871823</v>
      </c>
      <c r="F10" s="306">
        <f>$D$10*'هزینه‌های تولید'!$E$9</f>
        <v>49653.405451569291</v>
      </c>
      <c r="G10" s="306">
        <f>$D$10*'هزینه‌های تولید'!$F$9</f>
        <v>55170.450501743646</v>
      </c>
      <c r="H10" s="306">
        <f>$D$10*'هزینه‌های تولید'!$G$9</f>
        <v>55170.450501743646</v>
      </c>
      <c r="I10" s="306">
        <f>$D$10*'هزینه‌های تولید'!$H$9</f>
        <v>55170.450501743646</v>
      </c>
      <c r="J10" s="306">
        <f>$D$10*'هزینه‌های تولید'!$I$9</f>
        <v>55170.450501743646</v>
      </c>
      <c r="K10" s="306">
        <f>$D$10*'هزینه‌های تولید'!$J$9</f>
        <v>55170.450501743646</v>
      </c>
      <c r="L10" s="306">
        <f>$D$10*'هزینه‌های تولید'!$K$9</f>
        <v>55170.450501743646</v>
      </c>
      <c r="M10" s="306">
        <f>$D$10*'هزینه‌های تولید'!$L$9</f>
        <v>55170.450501743646</v>
      </c>
      <c r="N10" s="306">
        <f>$D$10*'هزینه‌های تولید'!$M$9</f>
        <v>55170.450501743646</v>
      </c>
      <c r="O10" s="306">
        <f>$D$10*'هزینه‌های تولید'!$N$9</f>
        <v>55170.450501743646</v>
      </c>
      <c r="P10" s="306">
        <f>$D$10*'هزینه‌های تولید'!$O$9</f>
        <v>55170.450501743646</v>
      </c>
      <c r="Q10" s="306">
        <f>$D$10*'هزینه‌های تولید'!$P$9</f>
        <v>55170.450501743646</v>
      </c>
      <c r="R10" s="306">
        <f>$D$10*'هزینه‌های تولید'!$Q$9</f>
        <v>55170.450501743646</v>
      </c>
      <c r="S10" s="306">
        <f>$D$10*'هزینه‌های تولید'!$R$9</f>
        <v>55170.450501743646</v>
      </c>
    </row>
    <row r="11" spans="3:19" ht="18.45" x14ac:dyDescent="0.75">
      <c r="C11" s="309" t="str">
        <f>'هزینه‌های تولید'!$C$10</f>
        <v>بیمه</v>
      </c>
      <c r="D11" s="305">
        <v>0</v>
      </c>
      <c r="E11" s="306">
        <f>$D$11*'هزینه‌های تولید'!$D$10</f>
        <v>0</v>
      </c>
      <c r="F11" s="306">
        <f>$D$11*'هزینه‌های تولید'!$E$10</f>
        <v>0</v>
      </c>
      <c r="G11" s="306">
        <f>$D$11*'هزینه‌های تولید'!$F$10</f>
        <v>0</v>
      </c>
      <c r="H11" s="306">
        <f>$D$11*'هزینه‌های تولید'!$G$10</f>
        <v>0</v>
      </c>
      <c r="I11" s="306">
        <f>$D$11*'هزینه‌های تولید'!$H$10</f>
        <v>0</v>
      </c>
      <c r="J11" s="306">
        <f>$D$11*'هزینه‌های تولید'!$I$10</f>
        <v>0</v>
      </c>
      <c r="K11" s="306">
        <f>$D$11*'هزینه‌های تولید'!$J$10</f>
        <v>0</v>
      </c>
      <c r="L11" s="306">
        <f>$D$11*'هزینه‌های تولید'!$K$10</f>
        <v>0</v>
      </c>
      <c r="M11" s="306">
        <f>$D$11*'هزینه‌های تولید'!$L$10</f>
        <v>0</v>
      </c>
      <c r="N11" s="306">
        <f>$D$11*'هزینه‌های تولید'!$M$10</f>
        <v>0</v>
      </c>
      <c r="O11" s="306">
        <f>$D$11*'هزینه‌های تولید'!$N$10</f>
        <v>0</v>
      </c>
      <c r="P11" s="306">
        <f>$D$11*'هزینه‌های تولید'!$O$10</f>
        <v>0</v>
      </c>
      <c r="Q11" s="306">
        <f>$D$11*'هزینه‌های تولید'!$P$10</f>
        <v>0</v>
      </c>
      <c r="R11" s="306">
        <f>$D$11*'هزینه‌های تولید'!$Q$10</f>
        <v>0</v>
      </c>
      <c r="S11" s="306">
        <f>$D$11*'هزینه‌های تولید'!$R$10</f>
        <v>0</v>
      </c>
    </row>
    <row r="12" spans="3:19" ht="18.45" x14ac:dyDescent="0.75">
      <c r="C12" s="309" t="str">
        <f>'هزینه‌های تولید'!$C$11</f>
        <v>حمل و نقل</v>
      </c>
      <c r="D12" s="305">
        <v>0.8</v>
      </c>
      <c r="E12" s="306">
        <f>$D$12*'هزینه‌های تولید'!$D$11</f>
        <v>1409.8301764660032</v>
      </c>
      <c r="F12" s="306">
        <f>$D$12*'هزینه‌های تولید'!$E$11</f>
        <v>1409.8301764660032</v>
      </c>
      <c r="G12" s="306">
        <f>$D$12*'هزینه‌های تولید'!$F$11</f>
        <v>1409.8301764660032</v>
      </c>
      <c r="H12" s="306">
        <f>$D$12*'هزینه‌های تولید'!$G$11</f>
        <v>1409.8301764660032</v>
      </c>
      <c r="I12" s="306">
        <f>$D$12*'هزینه‌های تولید'!$H$11</f>
        <v>1409.8301764660032</v>
      </c>
      <c r="J12" s="306">
        <f>$D$12*'هزینه‌های تولید'!$I$11</f>
        <v>1409.8301764660032</v>
      </c>
      <c r="K12" s="306">
        <f>$D$12*'هزینه‌های تولید'!$J$11</f>
        <v>1409.8301764660032</v>
      </c>
      <c r="L12" s="306">
        <f>$D$12*'هزینه‌های تولید'!$K$11</f>
        <v>1409.8301764660032</v>
      </c>
      <c r="M12" s="306">
        <f>$D$12*'هزینه‌های تولید'!$L$11</f>
        <v>1409.8301764660032</v>
      </c>
      <c r="N12" s="306">
        <f>$D$12*'هزینه‌های تولید'!$M$11</f>
        <v>1409.8301764660032</v>
      </c>
      <c r="O12" s="306">
        <f>$D$12*'هزینه‌های تولید'!$N$11</f>
        <v>1409.8301764660032</v>
      </c>
      <c r="P12" s="306">
        <f>$D$12*'هزینه‌های تولید'!$O$11</f>
        <v>1409.8301764660032</v>
      </c>
      <c r="Q12" s="306">
        <f>$D$12*'هزینه‌های تولید'!$P$11</f>
        <v>1409.8301764660032</v>
      </c>
      <c r="R12" s="306">
        <f>$D$12*'هزینه‌های تولید'!$Q$11</f>
        <v>1409.8301764660032</v>
      </c>
      <c r="S12" s="306">
        <f>$D$12*'هزینه‌های تولید'!$R$11</f>
        <v>1409.8301764660032</v>
      </c>
    </row>
    <row r="13" spans="3:19" ht="18.45" x14ac:dyDescent="0.75">
      <c r="C13" s="309" t="str">
        <f>'هزینه‌های تولید'!$C$12</f>
        <v>زمين و ساختمان</v>
      </c>
      <c r="D13" s="305">
        <v>0.1</v>
      </c>
      <c r="E13" s="306">
        <f>$D$13*'هزینه‌های تولید'!$D$12</f>
        <v>4374.577002859688</v>
      </c>
      <c r="F13" s="306">
        <f>$D$13*'هزینه‌های تولید'!$E$12</f>
        <v>4374.577002859688</v>
      </c>
      <c r="G13" s="306">
        <f>$D$13*'هزینه‌های تولید'!$F$12</f>
        <v>4374.577002859688</v>
      </c>
      <c r="H13" s="306">
        <f>$D$13*'هزینه‌های تولید'!$G$12</f>
        <v>4374.577002859688</v>
      </c>
      <c r="I13" s="306">
        <f>$D$13*'هزینه‌های تولید'!$H$12</f>
        <v>4374.577002859688</v>
      </c>
      <c r="J13" s="306">
        <f>$D$13*'هزینه‌های تولید'!$I$12</f>
        <v>4374.577002859688</v>
      </c>
      <c r="K13" s="306">
        <f>$D$13*'هزینه‌های تولید'!$J$12</f>
        <v>4374.577002859688</v>
      </c>
      <c r="L13" s="306">
        <f>$D$13*'هزینه‌های تولید'!$K$12</f>
        <v>4374.577002859688</v>
      </c>
      <c r="M13" s="306">
        <f>$D$13*'هزینه‌های تولید'!$L$12</f>
        <v>4374.577002859688</v>
      </c>
      <c r="N13" s="306">
        <f>$D$13*'هزینه‌های تولید'!$M$12</f>
        <v>4374.577002859688</v>
      </c>
      <c r="O13" s="306">
        <f>$D$13*'هزینه‌های تولید'!$N$12</f>
        <v>4374.577002859688</v>
      </c>
      <c r="P13" s="306">
        <f>$D$13*'هزینه‌های تولید'!$O$12</f>
        <v>4374.577002859688</v>
      </c>
      <c r="Q13" s="306">
        <f>$D$13*'هزینه‌های تولید'!$P$12</f>
        <v>4374.577002859688</v>
      </c>
      <c r="R13" s="306">
        <f>$D$13*'هزینه‌های تولید'!$Q$12</f>
        <v>4374.577002859688</v>
      </c>
      <c r="S13" s="306">
        <f>$D$13*'هزینه‌های تولید'!$R$12</f>
        <v>4374.577002859688</v>
      </c>
    </row>
    <row r="14" spans="3:19" ht="18.45" x14ac:dyDescent="0.75">
      <c r="C14" s="309" t="str">
        <f>'هزینه‌های تولید'!$C$13</f>
        <v xml:space="preserve"> هزينه هاي پيش بيني نشده (5%)</v>
      </c>
      <c r="D14" s="305">
        <v>0.8</v>
      </c>
      <c r="E14" s="306">
        <f>$D$14*'هزینه‌های تولید'!$D$13</f>
        <v>7169.8561606302501</v>
      </c>
      <c r="F14" s="306">
        <f>$D$14*'هزینه‌های تولید'!$E$13</f>
        <v>15211.760627140677</v>
      </c>
      <c r="G14" s="306">
        <f>$D$14*'هزینه‌های تولید'!$F$13</f>
        <v>16053.23027364621</v>
      </c>
      <c r="H14" s="306">
        <f>$D$14*'هزینه‌های تولید'!$G$13</f>
        <v>16000.298453738402</v>
      </c>
      <c r="I14" s="306">
        <f>$D$14*'هزینه‌های تولید'!$H$13</f>
        <v>15947.366633830592</v>
      </c>
      <c r="J14" s="306">
        <f>$D$14*'هزینه‌های تولید'!$I$13</f>
        <v>15894.43481392278</v>
      </c>
      <c r="K14" s="306">
        <f>$D$14*'هزینه‌های تولید'!$J$13</f>
        <v>15841.502994014973</v>
      </c>
      <c r="L14" s="306">
        <f>$D$14*'هزینه‌های تولید'!$K$13</f>
        <v>15788.571174107161</v>
      </c>
      <c r="M14" s="306">
        <f>$D$14*'هزینه‌های تولید'!$L$13</f>
        <v>15735.639354199353</v>
      </c>
      <c r="N14" s="306">
        <f>$D$14*'هزینه‌های تولید'!$M$13</f>
        <v>15682.707534291543</v>
      </c>
      <c r="O14" s="306">
        <f>$D$14*'هزینه‌های تولید'!$N$13</f>
        <v>15629.775714383732</v>
      </c>
      <c r="P14" s="306">
        <f>$D$14*'هزینه‌های تولید'!$O$13</f>
        <v>15576.84389447592</v>
      </c>
      <c r="Q14" s="306">
        <f>$D$14*'هزینه‌های تولید'!$P$13</f>
        <v>15523.912074568112</v>
      </c>
      <c r="R14" s="306">
        <f>$D$14*'هزینه‌های تولید'!$Q$13</f>
        <v>15470.980254660302</v>
      </c>
      <c r="S14" s="306">
        <f>$D$14*'هزینه‌های تولید'!$R$13</f>
        <v>15418.048434752491</v>
      </c>
    </row>
    <row r="15" spans="3:19" ht="18.45" x14ac:dyDescent="0.75">
      <c r="C15" s="309" t="str">
        <f>'هزینه‌های تولید'!$C$15</f>
        <v>هزينه هاي اداري و تشكيلاتي (ستاد و زيرساخت)</v>
      </c>
      <c r="D15" s="305">
        <v>0</v>
      </c>
      <c r="E15" s="306">
        <f>$D$15*'هزینه‌های تولید'!$D$15</f>
        <v>0</v>
      </c>
      <c r="F15" s="306">
        <f>$D$15*'هزینه‌های تولید'!$E$15</f>
        <v>0</v>
      </c>
      <c r="G15" s="306">
        <f>$D$15*'هزینه‌های تولید'!$F$15</f>
        <v>0</v>
      </c>
      <c r="H15" s="306">
        <f>$D$15*'هزینه‌های تولید'!$G$15</f>
        <v>0</v>
      </c>
      <c r="I15" s="306">
        <f>$D$15*'هزینه‌های تولید'!$H$15</f>
        <v>0</v>
      </c>
      <c r="J15" s="306">
        <f>$D$15*'هزینه‌های تولید'!$I$15</f>
        <v>0</v>
      </c>
      <c r="K15" s="306">
        <f>$D$15*'هزینه‌های تولید'!$J$15</f>
        <v>0</v>
      </c>
      <c r="L15" s="306">
        <f>$D$15*'هزینه‌های تولید'!$K$15</f>
        <v>0</v>
      </c>
      <c r="M15" s="306">
        <f>$D$15*'هزینه‌های تولید'!$L$15</f>
        <v>0</v>
      </c>
      <c r="N15" s="306">
        <f>$D$15*'هزینه‌های تولید'!$M$15</f>
        <v>0</v>
      </c>
      <c r="O15" s="306">
        <f>$D$15*'هزینه‌های تولید'!$N$15</f>
        <v>0</v>
      </c>
      <c r="P15" s="306">
        <f>$D$15*'هزینه‌های تولید'!$O$15</f>
        <v>0</v>
      </c>
      <c r="Q15" s="306">
        <f>$D$15*'هزینه‌های تولید'!$P$15</f>
        <v>0</v>
      </c>
      <c r="R15" s="306">
        <f>$D$15*'هزینه‌های تولید'!$Q$15</f>
        <v>0</v>
      </c>
      <c r="S15" s="306">
        <f>$D$15*'هزینه‌های تولید'!$R$15</f>
        <v>0</v>
      </c>
    </row>
    <row r="16" spans="3:19" ht="18.45" x14ac:dyDescent="0.75">
      <c r="C16" s="309" t="str">
        <f>'هزینه‌های تولید'!C17</f>
        <v>استهلاك</v>
      </c>
      <c r="D16" s="305">
        <v>0</v>
      </c>
      <c r="E16" s="306">
        <f>$D$16*'هزینه‌های تولید'!$D$17</f>
        <v>0</v>
      </c>
      <c r="F16" s="306">
        <f>$D$16*'هزینه‌های تولید'!$E$17</f>
        <v>0</v>
      </c>
      <c r="G16" s="306">
        <f>$D$16*'هزینه‌های تولید'!$F$17</f>
        <v>0</v>
      </c>
      <c r="H16" s="306">
        <f>$D$16*'هزینه‌های تولید'!$G$17</f>
        <v>0</v>
      </c>
      <c r="I16" s="306">
        <f>$D$16*'هزینه‌های تولید'!$H$17</f>
        <v>0</v>
      </c>
      <c r="J16" s="306">
        <f>$D$16*'هزینه‌های تولید'!$I$17</f>
        <v>0</v>
      </c>
      <c r="K16" s="306">
        <f>$D$16*'هزینه‌های تولید'!$J$17</f>
        <v>0</v>
      </c>
      <c r="L16" s="306">
        <f>$D$16*'هزینه‌های تولید'!$K$17</f>
        <v>0</v>
      </c>
      <c r="M16" s="306">
        <f>$D$16*'هزینه‌های تولید'!$L$17</f>
        <v>0</v>
      </c>
      <c r="N16" s="306">
        <f>$D$16*'هزینه‌های تولید'!$M$17</f>
        <v>0</v>
      </c>
      <c r="O16" s="306">
        <f>$D$16*'هزینه‌های تولید'!$N$17</f>
        <v>0</v>
      </c>
      <c r="P16" s="306">
        <f>$D$16*'هزینه‌های تولید'!$O$17</f>
        <v>0</v>
      </c>
      <c r="Q16" s="306">
        <f>$D$16*'هزینه‌های تولید'!$P$17</f>
        <v>0</v>
      </c>
      <c r="R16" s="306">
        <f>$D$16*'هزینه‌های تولید'!$Q$17</f>
        <v>0</v>
      </c>
      <c r="S16" s="306">
        <f>$D$16*'هزینه‌های تولید'!$R$17</f>
        <v>0</v>
      </c>
    </row>
    <row r="17" spans="3:19" ht="18.45" x14ac:dyDescent="0.75">
      <c r="C17" s="309" t="str">
        <f>'هزینه‌های تولید'!$C$18</f>
        <v>هزينه هاي تامين مالي</v>
      </c>
      <c r="D17" s="305">
        <v>1</v>
      </c>
      <c r="E17" s="306">
        <f>$D$17*'هزینه‌های تولید'!$D$18</f>
        <v>0</v>
      </c>
      <c r="F17" s="306">
        <f>$D$17*'هزینه‌های تولید'!$E$18</f>
        <v>0</v>
      </c>
      <c r="G17" s="306">
        <f>$D$17*'هزینه‌های تولید'!$F$18</f>
        <v>0</v>
      </c>
      <c r="H17" s="306">
        <f>$D$17*'هزینه‌های تولید'!$G$18</f>
        <v>0</v>
      </c>
      <c r="I17" s="306">
        <f>$D$17*'هزینه‌های تولید'!$H$18</f>
        <v>0</v>
      </c>
      <c r="J17" s="306">
        <f>$D$17*'هزینه‌های تولید'!$I$18</f>
        <v>0</v>
      </c>
      <c r="K17" s="306">
        <f>$D$17*'هزینه‌های تولید'!$J$18</f>
        <v>0</v>
      </c>
      <c r="L17" s="306">
        <f>$D$17*'هزینه‌های تولید'!$K$18</f>
        <v>0</v>
      </c>
      <c r="M17" s="306">
        <f>$D$17*'هزینه‌های تولید'!$L$18</f>
        <v>0</v>
      </c>
      <c r="N17" s="306">
        <f>$D$17*'هزینه‌های تولید'!$M$18</f>
        <v>0</v>
      </c>
      <c r="O17" s="306">
        <f>$D$17*'هزینه‌های تولید'!$N$18</f>
        <v>0</v>
      </c>
      <c r="P17" s="306">
        <f>$D$17*'هزینه‌های تولید'!$O$18</f>
        <v>0</v>
      </c>
      <c r="Q17" s="306">
        <f>$D$17*'هزینه‌های تولید'!$P$18</f>
        <v>0</v>
      </c>
      <c r="R17" s="306">
        <f>$D$17*'هزینه‌های تولید'!$Q$18</f>
        <v>0</v>
      </c>
      <c r="S17" s="306">
        <f>$D$17*'هزینه‌های تولید'!$R$18</f>
        <v>0</v>
      </c>
    </row>
    <row r="18" spans="3:19" ht="18.45" x14ac:dyDescent="0.75">
      <c r="C18" s="309" t="str">
        <f>'هزینه‌های تولید'!$C$20</f>
        <v xml:space="preserve">هزينه هاي بازاريابي و تبليغات، توزيع و فروش </v>
      </c>
      <c r="D18" s="305">
        <v>1</v>
      </c>
      <c r="E18" s="306">
        <f>$D$18*'هزینه‌های تولید'!$D$20</f>
        <v>5.0000000000000001E-3</v>
      </c>
      <c r="F18" s="306">
        <f>$D$18*'هزینه‌های تولید'!$E$20</f>
        <v>11929.796303909106</v>
      </c>
      <c r="G18" s="306">
        <f>$D$18*'هزینه‌های تولید'!$F$20</f>
        <v>12908.960627779565</v>
      </c>
      <c r="H18" s="306">
        <f>$D$18*'هزینه‌های تولید'!$G$20</f>
        <v>6777.1834485426589</v>
      </c>
      <c r="I18" s="306">
        <f>$D$18*'هزینه‌های تولید'!$H$20</f>
        <v>7116.2250928435406</v>
      </c>
      <c r="J18" s="306">
        <f>$D$18*'هزینه‌های تولید'!$I$20</f>
        <v>7471.4499149685826</v>
      </c>
      <c r="K18" s="306">
        <f>$D$18*'هزینه‌های تولید'!$J$20</f>
        <v>7843.572991785014</v>
      </c>
      <c r="L18" s="306">
        <f>$D$18*'هزینه‌های تولید'!$K$20</f>
        <v>4171.2986617651313</v>
      </c>
      <c r="M18" s="306">
        <f>$D$18*'هزینه‌های تولید'!$L$20</f>
        <v>4484.785291595108</v>
      </c>
      <c r="N18" s="306">
        <f>$D$18*'هزینه‌های تولید'!$M$20</f>
        <v>4821.2857559141066</v>
      </c>
      <c r="O18" s="306">
        <f>$D$18*'هزینه‌های تولید'!$N$20</f>
        <v>5182.4351130797222</v>
      </c>
      <c r="P18" s="306">
        <f>$D$18*'هزینه‌های تولید'!$O$20</f>
        <v>2696.3077686828688</v>
      </c>
      <c r="Q18" s="306">
        <f>$D$18*'هزینه‌های تولید'!$P$20</f>
        <v>2730.8678223280403</v>
      </c>
      <c r="R18" s="306">
        <f>$D$18*'هزینه‌های تولید'!$Q$20</f>
        <v>2765.5293855747923</v>
      </c>
      <c r="S18" s="306">
        <f>$D$18*'هزینه‌های تولید'!$R$20</f>
        <v>2800.2773206414404</v>
      </c>
    </row>
    <row r="19" spans="3:19" ht="19.75" x14ac:dyDescent="0.85">
      <c r="C19" s="478" t="s">
        <v>5926</v>
      </c>
      <c r="D19" s="533" t="s">
        <v>11</v>
      </c>
      <c r="E19" s="315">
        <f>SUM(E7:E18)</f>
        <v>42735.441371192479</v>
      </c>
      <c r="F19" s="315">
        <f t="shared" ref="F19:S19" si="2">SUM(F7:F18)</f>
        <v>132219.98698065311</v>
      </c>
      <c r="G19" s="315">
        <f t="shared" si="2"/>
        <v>140570.73982607506</v>
      </c>
      <c r="H19" s="315">
        <f t="shared" si="2"/>
        <v>133879.49391449455</v>
      </c>
      <c r="I19" s="315">
        <f t="shared" si="2"/>
        <v>133659.0668264518</v>
      </c>
      <c r="J19" s="315">
        <f t="shared" si="2"/>
        <v>133454.82291623324</v>
      </c>
      <c r="K19" s="315">
        <f t="shared" si="2"/>
        <v>133267.47726070607</v>
      </c>
      <c r="L19" s="315">
        <f t="shared" si="2"/>
        <v>129035.73419834257</v>
      </c>
      <c r="M19" s="315">
        <f t="shared" si="2"/>
        <v>128789.75209582895</v>
      </c>
      <c r="N19" s="315">
        <f t="shared" si="2"/>
        <v>128566.78382780435</v>
      </c>
      <c r="O19" s="315">
        <f t="shared" si="2"/>
        <v>128368.46445262636</v>
      </c>
      <c r="P19" s="315">
        <f t="shared" si="2"/>
        <v>125322.86837588587</v>
      </c>
      <c r="Q19" s="315">
        <f t="shared" si="2"/>
        <v>124797.95969718744</v>
      </c>
      <c r="R19" s="315">
        <f t="shared" si="2"/>
        <v>124273.15252809058</v>
      </c>
      <c r="S19" s="316">
        <f t="shared" si="2"/>
        <v>123748.43173081361</v>
      </c>
    </row>
    <row r="20" spans="3:19" ht="19.75" x14ac:dyDescent="0.85">
      <c r="C20" s="307" t="s">
        <v>95</v>
      </c>
      <c r="D20" s="304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308"/>
    </row>
    <row r="21" spans="3:19" ht="18.45" x14ac:dyDescent="0.75">
      <c r="C21" s="309" t="str">
        <f>+C7</f>
        <v>مواد مصرفي</v>
      </c>
      <c r="D21" s="305">
        <f>1-D7</f>
        <v>0</v>
      </c>
      <c r="E21" s="306">
        <f>$D$21*'هزینه‌های تولید'!$D$6</f>
        <v>0</v>
      </c>
      <c r="F21" s="306">
        <f>$D$21*'هزینه‌های تولید'!$E$6</f>
        <v>0</v>
      </c>
      <c r="G21" s="306">
        <f>$D$21*'هزینه‌های تولید'!$F$6</f>
        <v>0</v>
      </c>
      <c r="H21" s="306">
        <f>$D$21*'هزینه‌های تولید'!$G$6</f>
        <v>0</v>
      </c>
      <c r="I21" s="306">
        <f>$D$21*'هزینه‌های تولید'!$H$6</f>
        <v>0</v>
      </c>
      <c r="J21" s="306">
        <f>$D$21*'هزینه‌های تولید'!$I$6</f>
        <v>0</v>
      </c>
      <c r="K21" s="306">
        <f>$D$21*'هزینه‌های تولید'!$J$6</f>
        <v>0</v>
      </c>
      <c r="L21" s="306">
        <f>$D$21*'هزینه‌های تولید'!$K$6</f>
        <v>0</v>
      </c>
      <c r="M21" s="306">
        <f>$D$21*'هزینه‌های تولید'!$L$6</f>
        <v>0</v>
      </c>
      <c r="N21" s="306">
        <f>$D$21*'هزینه‌های تولید'!$M$6</f>
        <v>0</v>
      </c>
      <c r="O21" s="306">
        <f>$D$21*'هزینه‌های تولید'!$N$6</f>
        <v>0</v>
      </c>
      <c r="P21" s="306">
        <f>$D$21*'هزینه‌های تولید'!$O$6</f>
        <v>0</v>
      </c>
      <c r="Q21" s="306">
        <f>$D$21*'هزینه‌های تولید'!$P$6</f>
        <v>0</v>
      </c>
      <c r="R21" s="306">
        <f>$D$21*'هزینه‌های تولید'!$Q$6</f>
        <v>0</v>
      </c>
      <c r="S21" s="306">
        <f>$D$21*'هزینه‌های تولید'!$R$6</f>
        <v>0</v>
      </c>
    </row>
    <row r="22" spans="3:19" ht="18.45" x14ac:dyDescent="0.75">
      <c r="C22" s="309" t="str">
        <f>+C8</f>
        <v>هزينه خريد گاز و یوتیلیتی</v>
      </c>
      <c r="D22" s="305">
        <f>1-D8</f>
        <v>0.19999999999999996</v>
      </c>
      <c r="E22" s="306">
        <f>$D$22*'هزینه‌های تولید'!$D$7</f>
        <v>0</v>
      </c>
      <c r="F22" s="306">
        <f>$D$22*'هزینه‌های تولید'!$E$7</f>
        <v>7676.2199606196455</v>
      </c>
      <c r="G22" s="306">
        <f>$D$22*'هزینه‌های تولید'!$F$7</f>
        <v>7832.8775108363734</v>
      </c>
      <c r="H22" s="306">
        <f>$D$22*'هزینه‌های تولید'!$G$7</f>
        <v>7754.5487357280099</v>
      </c>
      <c r="I22" s="306">
        <f>$D$22*'هزینه‌های تولید'!$H$7</f>
        <v>7676.2199606196455</v>
      </c>
      <c r="J22" s="306">
        <f>$D$22*'هزینه‌های تولید'!$I$7</f>
        <v>7597.8911855112819</v>
      </c>
      <c r="K22" s="306">
        <f>$D$22*'هزینه‌های تولید'!$J$7</f>
        <v>7519.5624104029193</v>
      </c>
      <c r="L22" s="306">
        <f>$D$22*'هزینه‌های تولید'!$K$7</f>
        <v>7441.2336352945549</v>
      </c>
      <c r="M22" s="306">
        <f>$D$22*'هزینه‌های تولید'!$L$7</f>
        <v>7362.9048601861914</v>
      </c>
      <c r="N22" s="306">
        <f>$D$22*'هزینه‌های تولید'!$M$7</f>
        <v>7284.5760850778288</v>
      </c>
      <c r="O22" s="306">
        <f>$D$22*'هزینه‌های تولید'!$N$7</f>
        <v>7206.2473099694644</v>
      </c>
      <c r="P22" s="306">
        <f>$D$22*'هزینه‌های تولید'!$O$7</f>
        <v>7127.9185348610999</v>
      </c>
      <c r="Q22" s="306">
        <f>$D$22*'هزینه‌های تولید'!$P$7</f>
        <v>7049.5897597527364</v>
      </c>
      <c r="R22" s="306">
        <f>$D$22*'هزینه‌های تولید'!$Q$7</f>
        <v>6971.260984644372</v>
      </c>
      <c r="S22" s="306">
        <f>$D$22*'هزینه‌های تولید'!$R$7</f>
        <v>6892.9322095360094</v>
      </c>
    </row>
    <row r="23" spans="3:19" ht="18.45" x14ac:dyDescent="0.75">
      <c r="C23" s="309" t="str">
        <f>+C9</f>
        <v>تعمير و نگهداري و قطعات يدكي</v>
      </c>
      <c r="D23" s="305">
        <f t="shared" ref="D23:D32" si="3">1-D9</f>
        <v>0.8</v>
      </c>
      <c r="E23" s="306">
        <f>$D$23*'هزینه‌های تولید'!D8</f>
        <v>0</v>
      </c>
      <c r="F23" s="306">
        <f>$D$23*'هزینه‌های تولید'!E8</f>
        <v>72366.121394805843</v>
      </c>
      <c r="G23" s="306">
        <f>$D$23*'هزینه‌های تولید'!F8</f>
        <v>73842.981015108002</v>
      </c>
      <c r="H23" s="306">
        <f>$D$23*'هزینه‌های تولید'!G8</f>
        <v>73104.551204956922</v>
      </c>
      <c r="I23" s="306">
        <f>$D$23*'هزینه‌های تولید'!H8</f>
        <v>72366.121394805843</v>
      </c>
      <c r="J23" s="306">
        <f>$D$23*'هزینه‌های تولید'!I8</f>
        <v>71627.691584654764</v>
      </c>
      <c r="K23" s="306">
        <f>$D$23*'هزینه‌های تولید'!J8</f>
        <v>70889.261774503684</v>
      </c>
      <c r="L23" s="306">
        <f>$D$23*'هزینه‌های تولید'!K8</f>
        <v>70150.831964352605</v>
      </c>
      <c r="M23" s="306">
        <f>$D$23*'هزینه‌های تولید'!L8</f>
        <v>69412.402154201511</v>
      </c>
      <c r="N23" s="306">
        <f>$D$23*'هزینه‌های تولید'!M8</f>
        <v>68673.972344050446</v>
      </c>
      <c r="O23" s="306">
        <f>$D$23*'هزینه‌های تولید'!N8</f>
        <v>67935.542533899366</v>
      </c>
      <c r="P23" s="306">
        <f>$D$23*'هزینه‌های تولید'!O8</f>
        <v>67197.112723748287</v>
      </c>
      <c r="Q23" s="306">
        <f>$D$23*'هزینه‌های تولید'!P8</f>
        <v>66458.682913597208</v>
      </c>
      <c r="R23" s="306">
        <f>$D$23*'هزینه‌های تولید'!Q8</f>
        <v>65720.253103446128</v>
      </c>
      <c r="S23" s="306">
        <f>$D$23*'هزینه‌های تولید'!R8</f>
        <v>64981.823293295041</v>
      </c>
    </row>
    <row r="24" spans="3:19" ht="18.45" x14ac:dyDescent="0.75">
      <c r="C24" s="309" t="str">
        <f>C10</f>
        <v>پرسنل تولید</v>
      </c>
      <c r="D24" s="305">
        <f t="shared" si="3"/>
        <v>0.7</v>
      </c>
      <c r="E24" s="306">
        <f>$D$24*'هزینه‌های تولید'!D9</f>
        <v>64365.525585367584</v>
      </c>
      <c r="F24" s="306">
        <f>$D$24*'هزینه‌های تولید'!E9</f>
        <v>115857.94605366167</v>
      </c>
      <c r="G24" s="306">
        <f>$D$24*'هزینه‌های تولید'!F9</f>
        <v>128731.05117073517</v>
      </c>
      <c r="H24" s="306">
        <f>$D$24*'هزینه‌های تولید'!G9</f>
        <v>128731.05117073517</v>
      </c>
      <c r="I24" s="306">
        <f>$D$24*'هزینه‌های تولید'!H9</f>
        <v>128731.05117073517</v>
      </c>
      <c r="J24" s="306">
        <f>$D$24*'هزینه‌های تولید'!I9</f>
        <v>128731.05117073517</v>
      </c>
      <c r="K24" s="306">
        <f>$D$24*'هزینه‌های تولید'!J9</f>
        <v>128731.05117073517</v>
      </c>
      <c r="L24" s="306">
        <f>$D$24*'هزینه‌های تولید'!K9</f>
        <v>128731.05117073517</v>
      </c>
      <c r="M24" s="306">
        <f>$D$24*'هزینه‌های تولید'!L9</f>
        <v>128731.05117073517</v>
      </c>
      <c r="N24" s="306">
        <f>$D$24*'هزینه‌های تولید'!M9</f>
        <v>128731.05117073517</v>
      </c>
      <c r="O24" s="306">
        <f>$D$24*'هزینه‌های تولید'!N9</f>
        <v>128731.05117073517</v>
      </c>
      <c r="P24" s="306">
        <f>$D$24*'هزینه‌های تولید'!O9</f>
        <v>128731.05117073517</v>
      </c>
      <c r="Q24" s="306">
        <f>$D$24*'هزینه‌های تولید'!P9</f>
        <v>128731.05117073517</v>
      </c>
      <c r="R24" s="306">
        <f>$D$24*'هزینه‌های تولید'!Q9</f>
        <v>128731.05117073517</v>
      </c>
      <c r="S24" s="306">
        <f>$D$24*'هزینه‌های تولید'!R9</f>
        <v>128731.05117073517</v>
      </c>
    </row>
    <row r="25" spans="3:19" ht="18.45" x14ac:dyDescent="0.75">
      <c r="C25" s="309" t="str">
        <f t="shared" ref="C25:C27" si="4">C11</f>
        <v>بیمه</v>
      </c>
      <c r="D25" s="305">
        <f t="shared" si="3"/>
        <v>1</v>
      </c>
      <c r="E25" s="306">
        <f>$D$25*'هزینه‌های تولید'!D10</f>
        <v>39591.647649972685</v>
      </c>
      <c r="F25" s="306">
        <f>$D$25*'هزینه‌های تولید'!E10</f>
        <v>39591.647649972685</v>
      </c>
      <c r="G25" s="306">
        <f>$D$25*'هزینه‌های تولید'!F10</f>
        <v>39591.647649972685</v>
      </c>
      <c r="H25" s="306">
        <f>$D$25*'هزینه‌های تولید'!G10</f>
        <v>39591.647649972685</v>
      </c>
      <c r="I25" s="306">
        <f>$D$25*'هزینه‌های تولید'!H10</f>
        <v>39591.647649972685</v>
      </c>
      <c r="J25" s="306">
        <f>$D$25*'هزینه‌های تولید'!I10</f>
        <v>39591.647649972685</v>
      </c>
      <c r="K25" s="306">
        <f>$D$25*'هزینه‌های تولید'!J10</f>
        <v>39591.647649972685</v>
      </c>
      <c r="L25" s="306">
        <f>$D$25*'هزینه‌های تولید'!K10</f>
        <v>39591.647649972685</v>
      </c>
      <c r="M25" s="306">
        <f>$D$25*'هزینه‌های تولید'!L10</f>
        <v>39591.647649972685</v>
      </c>
      <c r="N25" s="306">
        <f>$D$25*'هزینه‌های تولید'!M10</f>
        <v>39591.647649972685</v>
      </c>
      <c r="O25" s="306">
        <f>$D$25*'هزینه‌های تولید'!N10</f>
        <v>39591.647649972685</v>
      </c>
      <c r="P25" s="306">
        <f>$D$25*'هزینه‌های تولید'!O10</f>
        <v>39591.647649972685</v>
      </c>
      <c r="Q25" s="306">
        <f>$D$25*'هزینه‌های تولید'!P10</f>
        <v>39591.647649972685</v>
      </c>
      <c r="R25" s="306">
        <f>$D$25*'هزینه‌های تولید'!Q10</f>
        <v>39591.647649972685</v>
      </c>
      <c r="S25" s="306">
        <f>$D$25*'هزینه‌های تولید'!R10</f>
        <v>39591.647649972685</v>
      </c>
    </row>
    <row r="26" spans="3:19" ht="18.45" x14ac:dyDescent="0.75">
      <c r="C26" s="309" t="str">
        <f t="shared" si="4"/>
        <v>حمل و نقل</v>
      </c>
      <c r="D26" s="305">
        <f t="shared" si="3"/>
        <v>0.19999999999999996</v>
      </c>
      <c r="E26" s="306">
        <f>$D$26*'هزینه‌های تولید'!D11</f>
        <v>352.45754411650069</v>
      </c>
      <c r="F26" s="306">
        <f>$D$26*'هزینه‌های تولید'!E11</f>
        <v>352.45754411650069</v>
      </c>
      <c r="G26" s="306">
        <f>$D$26*'هزینه‌های تولید'!F11</f>
        <v>352.45754411650069</v>
      </c>
      <c r="H26" s="306">
        <f>$D$26*'هزینه‌های تولید'!G11</f>
        <v>352.45754411650069</v>
      </c>
      <c r="I26" s="306">
        <f>$D$26*'هزینه‌های تولید'!H11</f>
        <v>352.45754411650069</v>
      </c>
      <c r="J26" s="306">
        <f>$D$26*'هزینه‌های تولید'!I11</f>
        <v>352.45754411650069</v>
      </c>
      <c r="K26" s="306">
        <f>$D$26*'هزینه‌های تولید'!J11</f>
        <v>352.45754411650069</v>
      </c>
      <c r="L26" s="306">
        <f>$D$26*'هزینه‌های تولید'!K11</f>
        <v>352.45754411650069</v>
      </c>
      <c r="M26" s="306">
        <f>$D$26*'هزینه‌های تولید'!L11</f>
        <v>352.45754411650069</v>
      </c>
      <c r="N26" s="306">
        <f>$D$26*'هزینه‌های تولید'!M11</f>
        <v>352.45754411650069</v>
      </c>
      <c r="O26" s="306">
        <f>$D$26*'هزینه‌های تولید'!N11</f>
        <v>352.45754411650069</v>
      </c>
      <c r="P26" s="306">
        <f>$D$26*'هزینه‌های تولید'!O11</f>
        <v>352.45754411650069</v>
      </c>
      <c r="Q26" s="306">
        <f>$D$26*'هزینه‌های تولید'!P11</f>
        <v>352.45754411650069</v>
      </c>
      <c r="R26" s="306">
        <f>$D$26*'هزینه‌های تولید'!Q11</f>
        <v>352.45754411650069</v>
      </c>
      <c r="S26" s="306">
        <f>$D$26*'هزینه‌های تولید'!R11</f>
        <v>352.45754411650069</v>
      </c>
    </row>
    <row r="27" spans="3:19" ht="18.45" x14ac:dyDescent="0.75">
      <c r="C27" s="309" t="str">
        <f t="shared" si="4"/>
        <v>زمين و ساختمان</v>
      </c>
      <c r="D27" s="305">
        <f t="shared" si="3"/>
        <v>0.9</v>
      </c>
      <c r="E27" s="306">
        <f>$D$27*'هزینه‌های تولید'!D12</f>
        <v>39371.193025737186</v>
      </c>
      <c r="F27" s="306">
        <f>$D$27*'هزینه‌های تولید'!E12</f>
        <v>39371.193025737186</v>
      </c>
      <c r="G27" s="306">
        <f>$D$27*'هزینه‌های تولید'!F12</f>
        <v>39371.193025737186</v>
      </c>
      <c r="H27" s="306">
        <f>$D$27*'هزینه‌های تولید'!G12</f>
        <v>39371.193025737186</v>
      </c>
      <c r="I27" s="306">
        <f>$D$27*'هزینه‌های تولید'!H12</f>
        <v>39371.193025737186</v>
      </c>
      <c r="J27" s="306">
        <f>$D$27*'هزینه‌های تولید'!I12</f>
        <v>39371.193025737186</v>
      </c>
      <c r="K27" s="306">
        <f>$D$27*'هزینه‌های تولید'!J12</f>
        <v>39371.193025737186</v>
      </c>
      <c r="L27" s="306">
        <f>$D$27*'هزینه‌های تولید'!K12</f>
        <v>39371.193025737186</v>
      </c>
      <c r="M27" s="306">
        <f>$D$27*'هزینه‌های تولید'!L12</f>
        <v>39371.193025737186</v>
      </c>
      <c r="N27" s="306">
        <f>$D$27*'هزینه‌های تولید'!M12</f>
        <v>39371.193025737186</v>
      </c>
      <c r="O27" s="306">
        <f>$D$27*'هزینه‌های تولید'!N12</f>
        <v>39371.193025737186</v>
      </c>
      <c r="P27" s="306">
        <f>$D$27*'هزینه‌های تولید'!O12</f>
        <v>39371.193025737186</v>
      </c>
      <c r="Q27" s="306">
        <f>$D$27*'هزینه‌های تولید'!P12</f>
        <v>39371.193025737186</v>
      </c>
      <c r="R27" s="306">
        <f>$D$27*'هزینه‌های تولید'!Q12</f>
        <v>39371.193025737186</v>
      </c>
      <c r="S27" s="306">
        <f>$D$27*'هزینه‌های تولید'!R12</f>
        <v>39371.193025737186</v>
      </c>
    </row>
    <row r="28" spans="3:19" ht="18.45" x14ac:dyDescent="0.75">
      <c r="C28" s="309" t="str">
        <f>C14</f>
        <v xml:space="preserve"> هزينه هاي پيش بيني نشده (5%)</v>
      </c>
      <c r="D28" s="305">
        <f t="shared" si="3"/>
        <v>0.19999999999999996</v>
      </c>
      <c r="E28" s="306">
        <f>$D$28*'هزینه‌های تولید'!D13</f>
        <v>1792.4640401575618</v>
      </c>
      <c r="F28" s="306">
        <f>$D$28*'هزینه‌های تولید'!E13</f>
        <v>3802.9401567851678</v>
      </c>
      <c r="G28" s="306">
        <f>$D$28*'هزینه‌های تولید'!F13</f>
        <v>4013.3075684115515</v>
      </c>
      <c r="H28" s="306">
        <f>$D$28*'هزینه‌های تولید'!G13</f>
        <v>4000.0746134345991</v>
      </c>
      <c r="I28" s="306">
        <f>$D$28*'هزینه‌های تولید'!H13</f>
        <v>3986.8416584576471</v>
      </c>
      <c r="J28" s="306">
        <f>$D$28*'هزینه‌های تولید'!I13</f>
        <v>3973.6087034806942</v>
      </c>
      <c r="K28" s="306">
        <f>$D$28*'هزینه‌های تولید'!J13</f>
        <v>3960.3757485037422</v>
      </c>
      <c r="L28" s="306">
        <f>$D$28*'هزینه‌های تولید'!K13</f>
        <v>3947.1427935267893</v>
      </c>
      <c r="M28" s="306">
        <f>$D$28*'هزینه‌های تولید'!L13</f>
        <v>3933.9098385498369</v>
      </c>
      <c r="N28" s="306">
        <f>$D$28*'هزینه‌های تولید'!M13</f>
        <v>3920.6768835728849</v>
      </c>
      <c r="O28" s="306">
        <f>$D$28*'هزینه‌های تولید'!N13</f>
        <v>3907.443928595932</v>
      </c>
      <c r="P28" s="306">
        <f>$D$28*'هزینه‌های تولید'!O13</f>
        <v>3894.2109736189791</v>
      </c>
      <c r="Q28" s="306">
        <f>$D$28*'هزینه‌های تولید'!P13</f>
        <v>3880.9780186420271</v>
      </c>
      <c r="R28" s="306">
        <f>$D$28*'هزینه‌های تولید'!Q13</f>
        <v>3867.7450636650747</v>
      </c>
      <c r="S28" s="306">
        <f>$D$28*'هزینه‌های تولید'!R13</f>
        <v>3854.5121086881218</v>
      </c>
    </row>
    <row r="29" spans="3:19" ht="18.45" x14ac:dyDescent="0.75">
      <c r="C29" s="309" t="str">
        <f>C15</f>
        <v>هزينه هاي اداري و تشكيلاتي (ستاد و زيرساخت)</v>
      </c>
      <c r="D29" s="305">
        <f t="shared" si="3"/>
        <v>1</v>
      </c>
      <c r="E29" s="306">
        <f>$D$29*'هزینه‌های تولید'!D15</f>
        <v>83015.091099924917</v>
      </c>
      <c r="F29" s="306">
        <f>$D$29*'هزینه‌های تولید'!E15</f>
        <v>83015.091099924917</v>
      </c>
      <c r="G29" s="306">
        <f>$D$29*'هزینه‌های تولید'!F15</f>
        <v>83015.091099924917</v>
      </c>
      <c r="H29" s="306">
        <f>$D$29*'هزینه‌های تولید'!G15</f>
        <v>83015.091099924917</v>
      </c>
      <c r="I29" s="306">
        <f>$D$29*'هزینه‌های تولید'!H15</f>
        <v>83015.091099924917</v>
      </c>
      <c r="J29" s="306">
        <f>$D$29*'هزینه‌های تولید'!I15</f>
        <v>83015.091099924917</v>
      </c>
      <c r="K29" s="306">
        <f>$D$29*'هزینه‌های تولید'!J15</f>
        <v>83015.091099924917</v>
      </c>
      <c r="L29" s="306">
        <f>$D$29*'هزینه‌های تولید'!K15</f>
        <v>83015.091099924917</v>
      </c>
      <c r="M29" s="306">
        <f>$D$29*'هزینه‌های تولید'!L15</f>
        <v>83015.091099924917</v>
      </c>
      <c r="N29" s="306">
        <f>$D$29*'هزینه‌های تولید'!M15</f>
        <v>83015.091099924917</v>
      </c>
      <c r="O29" s="306">
        <f>$D$29*'هزینه‌های تولید'!N15</f>
        <v>83015.091099924917</v>
      </c>
      <c r="P29" s="306">
        <f>$D$29*'هزینه‌های تولید'!O15</f>
        <v>83015.091099924917</v>
      </c>
      <c r="Q29" s="306">
        <f>$D$29*'هزینه‌های تولید'!P15</f>
        <v>83015.091099924917</v>
      </c>
      <c r="R29" s="306">
        <f>$D$29*'هزینه‌های تولید'!Q15</f>
        <v>83015.091099924917</v>
      </c>
      <c r="S29" s="306">
        <f>$D$29*'هزینه‌های تولید'!R15</f>
        <v>83015.091099924917</v>
      </c>
    </row>
    <row r="30" spans="3:19" ht="18.45" x14ac:dyDescent="0.75">
      <c r="C30" s="309" t="str">
        <f>C16</f>
        <v>استهلاك</v>
      </c>
      <c r="D30" s="305">
        <f t="shared" si="3"/>
        <v>1</v>
      </c>
      <c r="E30" s="306">
        <f>$D$30*'هزینه‌های تولید'!D17</f>
        <v>0</v>
      </c>
      <c r="F30" s="306">
        <f>$D$30*'هزینه‌های تولید'!E17</f>
        <v>359726.63863089279</v>
      </c>
      <c r="G30" s="306">
        <f>$D$30*'هزینه‌های تولید'!F17</f>
        <v>367067.99860295182</v>
      </c>
      <c r="H30" s="306">
        <f>$D$30*'هزینه‌های تولید'!G17</f>
        <v>363397.3186169223</v>
      </c>
      <c r="I30" s="306">
        <f>$D$30*'هزینه‌های تولید'!H17</f>
        <v>359726.63863089279</v>
      </c>
      <c r="J30" s="306">
        <f>$D$30*'هزینه‌های تولید'!I17</f>
        <v>356055.95864486328</v>
      </c>
      <c r="K30" s="306">
        <f>$D$30*'هزینه‌های تولید'!J17</f>
        <v>352385.2786588337</v>
      </c>
      <c r="L30" s="306">
        <f>$D$30*'هزینه‌های تولید'!K17</f>
        <v>348714.59867280419</v>
      </c>
      <c r="M30" s="306">
        <f>$D$30*'هزینه‌های تولید'!L17</f>
        <v>345043.91868677468</v>
      </c>
      <c r="N30" s="306">
        <f>$D$30*'هزینه‌های تولید'!M17</f>
        <v>341373.23870074522</v>
      </c>
      <c r="O30" s="306">
        <f>$D$30*'هزینه‌های تولید'!N17</f>
        <v>337702.55871471571</v>
      </c>
      <c r="P30" s="306">
        <f>$D$30*'هزینه‌های تولید'!O17</f>
        <v>334031.87872868619</v>
      </c>
      <c r="Q30" s="306">
        <f>$D$30*'هزینه‌های تولید'!P17</f>
        <v>330361.19874265662</v>
      </c>
      <c r="R30" s="306">
        <f>$D$30*'هزینه‌های تولید'!Q17</f>
        <v>326690.51875662711</v>
      </c>
      <c r="S30" s="306">
        <f>$D$30*'هزینه‌های تولید'!R17</f>
        <v>323019.83877059759</v>
      </c>
    </row>
    <row r="31" spans="3:19" ht="18.45" x14ac:dyDescent="0.75">
      <c r="C31" s="309" t="str">
        <f>C17</f>
        <v>هزينه هاي تامين مالي</v>
      </c>
      <c r="D31" s="305">
        <f t="shared" si="3"/>
        <v>0</v>
      </c>
      <c r="E31" s="306">
        <f>$D$31*'هزینه‌های تولید'!D18</f>
        <v>0</v>
      </c>
      <c r="F31" s="306">
        <f>$D$31*'هزینه‌های تولید'!E18</f>
        <v>0</v>
      </c>
      <c r="G31" s="306">
        <f>$D$31*'هزینه‌های تولید'!F18</f>
        <v>0</v>
      </c>
      <c r="H31" s="306">
        <f>$D$31*'هزینه‌های تولید'!G18</f>
        <v>0</v>
      </c>
      <c r="I31" s="306">
        <f>$D$31*'هزینه‌های تولید'!H18</f>
        <v>0</v>
      </c>
      <c r="J31" s="306">
        <f>$D$31*'هزینه‌های تولید'!I18</f>
        <v>0</v>
      </c>
      <c r="K31" s="306">
        <f>$D$31*'هزینه‌های تولید'!J18</f>
        <v>0</v>
      </c>
      <c r="L31" s="306">
        <f>$D$31*'هزینه‌های تولید'!K18</f>
        <v>0</v>
      </c>
      <c r="M31" s="306">
        <f>$D$31*'هزینه‌های تولید'!L18</f>
        <v>0</v>
      </c>
      <c r="N31" s="306">
        <f>$D$31*'هزینه‌های تولید'!M18</f>
        <v>0</v>
      </c>
      <c r="O31" s="306">
        <f>$D$31*'هزینه‌های تولید'!N18</f>
        <v>0</v>
      </c>
      <c r="P31" s="306">
        <f>$D$31*'هزینه‌های تولید'!O18</f>
        <v>0</v>
      </c>
      <c r="Q31" s="306">
        <f>$D$31*'هزینه‌های تولید'!P18</f>
        <v>0</v>
      </c>
      <c r="R31" s="306">
        <f>$D$31*'هزینه‌های تولید'!Q18</f>
        <v>0</v>
      </c>
      <c r="S31" s="306">
        <f>$D$31*'هزینه‌های تولید'!R18</f>
        <v>0</v>
      </c>
    </row>
    <row r="32" spans="3:19" ht="18.45" x14ac:dyDescent="0.75">
      <c r="C32" s="309" t="str">
        <f>C18</f>
        <v xml:space="preserve">هزينه هاي بازاريابي و تبليغات، توزيع و فروش </v>
      </c>
      <c r="D32" s="305">
        <f t="shared" si="3"/>
        <v>0</v>
      </c>
      <c r="E32" s="306">
        <f>$D$32*'هزینه‌های تولید'!D20</f>
        <v>0</v>
      </c>
      <c r="F32" s="306">
        <f>$D$32*'هزینه‌های تولید'!E20</f>
        <v>0</v>
      </c>
      <c r="G32" s="306">
        <f>$D$32*'هزینه‌های تولید'!F20</f>
        <v>0</v>
      </c>
      <c r="H32" s="306">
        <f>$D$32*'هزینه‌های تولید'!G20</f>
        <v>0</v>
      </c>
      <c r="I32" s="306">
        <f>$D$32*'هزینه‌های تولید'!H20</f>
        <v>0</v>
      </c>
      <c r="J32" s="306">
        <f>$D$32*'هزینه‌های تولید'!I20</f>
        <v>0</v>
      </c>
      <c r="K32" s="306">
        <f>$D$32*'هزینه‌های تولید'!J20</f>
        <v>0</v>
      </c>
      <c r="L32" s="306">
        <f>$D$32*'هزینه‌های تولید'!K20</f>
        <v>0</v>
      </c>
      <c r="M32" s="306">
        <f>$D$32*'هزینه‌های تولید'!L20</f>
        <v>0</v>
      </c>
      <c r="N32" s="306">
        <f>$D$32*'هزینه‌های تولید'!M20</f>
        <v>0</v>
      </c>
      <c r="O32" s="306">
        <f>$D$32*'هزینه‌های تولید'!N20</f>
        <v>0</v>
      </c>
      <c r="P32" s="306">
        <f>$D$32*'هزینه‌های تولید'!O20</f>
        <v>0</v>
      </c>
      <c r="Q32" s="306">
        <f>$D$32*'هزینه‌های تولید'!P20</f>
        <v>0</v>
      </c>
      <c r="R32" s="306">
        <f>$D$32*'هزینه‌های تولید'!Q20</f>
        <v>0</v>
      </c>
      <c r="S32" s="306">
        <f>$D$32*'هزینه‌های تولید'!R20</f>
        <v>0</v>
      </c>
    </row>
    <row r="33" spans="3:19" ht="19.75" x14ac:dyDescent="0.85">
      <c r="C33" s="478" t="s">
        <v>5925</v>
      </c>
      <c r="D33" s="533" t="s">
        <v>11</v>
      </c>
      <c r="E33" s="315">
        <f>SUM(E21:E32)</f>
        <v>228488.37894527643</v>
      </c>
      <c r="F33" s="315">
        <f>SUM(F21:F32)</f>
        <v>721760.25551651651</v>
      </c>
      <c r="G33" s="315">
        <f t="shared" ref="G33:S33" si="5">SUM(G21:G32)</f>
        <v>743818.60518779431</v>
      </c>
      <c r="H33" s="315">
        <f t="shared" si="5"/>
        <v>739317.93366152828</v>
      </c>
      <c r="I33" s="315">
        <f t="shared" si="5"/>
        <v>734817.26213526237</v>
      </c>
      <c r="J33" s="315">
        <f t="shared" si="5"/>
        <v>730316.59060899646</v>
      </c>
      <c r="K33" s="315">
        <f t="shared" si="5"/>
        <v>725815.91908273054</v>
      </c>
      <c r="L33" s="315">
        <f t="shared" si="5"/>
        <v>721315.24755646463</v>
      </c>
      <c r="M33" s="315">
        <f t="shared" si="5"/>
        <v>716814.57603019872</v>
      </c>
      <c r="N33" s="315">
        <f t="shared" si="5"/>
        <v>712313.90450393292</v>
      </c>
      <c r="O33" s="315">
        <f t="shared" si="5"/>
        <v>707813.23297766689</v>
      </c>
      <c r="P33" s="315">
        <f t="shared" si="5"/>
        <v>703312.5614514011</v>
      </c>
      <c r="Q33" s="315">
        <f t="shared" si="5"/>
        <v>698811.88992513507</v>
      </c>
      <c r="R33" s="315">
        <f t="shared" si="5"/>
        <v>694311.21839886927</v>
      </c>
      <c r="S33" s="316">
        <f t="shared" si="5"/>
        <v>689810.54687260324</v>
      </c>
    </row>
    <row r="34" spans="3:19" ht="19.75" x14ac:dyDescent="0.85">
      <c r="C34" s="478" t="s">
        <v>5924</v>
      </c>
      <c r="D34" s="533" t="s">
        <v>11</v>
      </c>
      <c r="E34" s="315">
        <v>0</v>
      </c>
      <c r="F34" s="315">
        <f>درآمدها!E8*میلیون</f>
        <v>2385959.2607818213</v>
      </c>
      <c r="G34" s="315">
        <f>درآمدها!F8*میلیون</f>
        <v>2581792.125555913</v>
      </c>
      <c r="H34" s="315">
        <f>درآمدها!G8*میلیون</f>
        <v>1355436.6897085316</v>
      </c>
      <c r="I34" s="315">
        <f>درآمدها!H8*میلیون</f>
        <v>1423245.0185687081</v>
      </c>
      <c r="J34" s="315">
        <f>درآمدها!I8*میلیون</f>
        <v>1494289.9829937164</v>
      </c>
      <c r="K34" s="315">
        <f>درآمدها!J8*میلیون</f>
        <v>1568714.5983570025</v>
      </c>
      <c r="L34" s="315">
        <f>درآمدها!K8*میلیون</f>
        <v>834259.73235302616</v>
      </c>
      <c r="M34" s="315">
        <f>درآمدها!L8*میلیون</f>
        <v>896957.0583190216</v>
      </c>
      <c r="N34" s="315">
        <f>درآمدها!M8*میلیون</f>
        <v>964257.15118282125</v>
      </c>
      <c r="O34" s="315">
        <f>درآمدها!N8*میلیون</f>
        <v>1036487.0226159444</v>
      </c>
      <c r="P34" s="315">
        <f>درآمدها!O8*میلیون</f>
        <v>539261.55373657378</v>
      </c>
      <c r="Q34" s="315">
        <f>درآمدها!P8*میلیون</f>
        <v>546173.5644656081</v>
      </c>
      <c r="R34" s="315">
        <f>درآمدها!Q8*میلیون</f>
        <v>553105.87711495836</v>
      </c>
      <c r="S34" s="315">
        <f>درآمدها!R8*میلیون</f>
        <v>560055.46412828809</v>
      </c>
    </row>
    <row r="35" spans="3:19" ht="20.149999999999999" thickBot="1" x14ac:dyDescent="0.9">
      <c r="C35" s="477" t="s">
        <v>96</v>
      </c>
      <c r="D35" s="533" t="s">
        <v>5923</v>
      </c>
      <c r="E35" s="317">
        <f>E33/(E34-E19)</f>
        <v>-5.3465781939787824</v>
      </c>
      <c r="F35" s="317">
        <f>F33/(F34-F19)</f>
        <v>0.32025011229413058</v>
      </c>
      <c r="G35" s="317">
        <f t="shared" ref="G35:S35" si="6">G33/(G34-G19)</f>
        <v>0.30469117202388396</v>
      </c>
      <c r="H35" s="317">
        <f>H33/(H34-H19)</f>
        <v>0.6052258021213297</v>
      </c>
      <c r="I35" s="317">
        <f t="shared" si="6"/>
        <v>0.56980867474751073</v>
      </c>
      <c r="J35" s="317">
        <f t="shared" si="6"/>
        <v>0.53666793160121884</v>
      </c>
      <c r="K35" s="317">
        <f t="shared" si="6"/>
        <v>0.50563751768745191</v>
      </c>
      <c r="L35" s="317">
        <f t="shared" si="6"/>
        <v>1.0228172175704258</v>
      </c>
      <c r="M35" s="317">
        <f t="shared" si="6"/>
        <v>0.93314902915423836</v>
      </c>
      <c r="N35" s="317">
        <f t="shared" si="6"/>
        <v>0.85236581912320719</v>
      </c>
      <c r="O35" s="317">
        <f>O33/(O34-O19)</f>
        <v>0.77942822180534288</v>
      </c>
      <c r="P35" s="317">
        <f t="shared" si="6"/>
        <v>1.6990742501840956</v>
      </c>
      <c r="Q35" s="317">
        <f t="shared" si="6"/>
        <v>1.6584061393615503</v>
      </c>
      <c r="R35" s="317">
        <f t="shared" si="6"/>
        <v>1.619072376222594</v>
      </c>
      <c r="S35" s="318">
        <f t="shared" si="6"/>
        <v>1.5810209225419676</v>
      </c>
    </row>
  </sheetData>
  <mergeCells count="5">
    <mergeCell ref="F3:I3"/>
    <mergeCell ref="C5:D5"/>
    <mergeCell ref="J3:S3"/>
    <mergeCell ref="C3:C4"/>
    <mergeCell ref="D3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9C29-102C-47E8-AFF0-2FD03F11D78D}">
  <sheetPr>
    <tabColor rgb="FF00FFFF"/>
  </sheetPr>
  <dimension ref="B3:V29"/>
  <sheetViews>
    <sheetView rightToLeft="1" zoomScaleNormal="10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45.765625" style="18" customWidth="1"/>
    <col min="3" max="21" width="20.765625" style="18" customWidth="1"/>
    <col min="22" max="22" width="13" style="18" bestFit="1" customWidth="1"/>
    <col min="23" max="16384" width="9" style="18"/>
  </cols>
  <sheetData>
    <row r="3" spans="2:22" ht="20.149999999999999" thickBot="1" x14ac:dyDescent="0.7">
      <c r="B3" s="13"/>
      <c r="C3" s="14"/>
      <c r="D3" s="14"/>
      <c r="E3" s="14"/>
      <c r="F3" s="14"/>
      <c r="G3" s="14"/>
      <c r="H3" s="15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</row>
    <row r="4" spans="2:22" ht="19.75" x14ac:dyDescent="0.65">
      <c r="B4" s="607" t="s">
        <v>20</v>
      </c>
      <c r="C4" s="310" t="str">
        <f>'داده‌های ورودی'!B6</f>
        <v>دوره ساخت</v>
      </c>
      <c r="D4" s="602" t="str">
        <f>'داده‌های ورودی'!$B$7</f>
        <v>دوره بهره‌برداري اول</v>
      </c>
      <c r="E4" s="602"/>
      <c r="F4" s="602"/>
      <c r="G4" s="602"/>
      <c r="H4" s="602" t="str">
        <f>'داده‌های ورودی'!$B$8</f>
        <v>دوره بهره‌برداري دوم</v>
      </c>
      <c r="I4" s="602"/>
      <c r="J4" s="602"/>
      <c r="K4" s="602"/>
      <c r="L4" s="602"/>
      <c r="M4" s="602"/>
      <c r="N4" s="602"/>
      <c r="O4" s="602"/>
      <c r="P4" s="602"/>
      <c r="Q4" s="602"/>
      <c r="R4" s="603" t="s">
        <v>97</v>
      </c>
    </row>
    <row r="5" spans="2:22" ht="19.75" x14ac:dyDescent="0.65">
      <c r="B5" s="608"/>
      <c r="C5" s="314">
        <v>1406</v>
      </c>
      <c r="D5" s="314">
        <f>C5+1</f>
        <v>1407</v>
      </c>
      <c r="E5" s="314">
        <f t="shared" ref="E5:Q5" si="0">D5+1</f>
        <v>1408</v>
      </c>
      <c r="F5" s="314">
        <f t="shared" si="0"/>
        <v>1409</v>
      </c>
      <c r="G5" s="314">
        <f t="shared" si="0"/>
        <v>1410</v>
      </c>
      <c r="H5" s="314">
        <f t="shared" si="0"/>
        <v>1411</v>
      </c>
      <c r="I5" s="314">
        <f t="shared" si="0"/>
        <v>1412</v>
      </c>
      <c r="J5" s="314">
        <f t="shared" si="0"/>
        <v>1413</v>
      </c>
      <c r="K5" s="314">
        <f t="shared" si="0"/>
        <v>1414</v>
      </c>
      <c r="L5" s="314">
        <f t="shared" si="0"/>
        <v>1415</v>
      </c>
      <c r="M5" s="314">
        <f t="shared" si="0"/>
        <v>1416</v>
      </c>
      <c r="N5" s="314">
        <f t="shared" si="0"/>
        <v>1417</v>
      </c>
      <c r="O5" s="314">
        <f t="shared" si="0"/>
        <v>1418</v>
      </c>
      <c r="P5" s="314">
        <f t="shared" si="0"/>
        <v>1419</v>
      </c>
      <c r="Q5" s="314">
        <f t="shared" si="0"/>
        <v>1420</v>
      </c>
      <c r="R5" s="617"/>
    </row>
    <row r="6" spans="2:22" ht="19.75" x14ac:dyDescent="0.65">
      <c r="B6" s="311" t="s">
        <v>112</v>
      </c>
      <c r="C6" s="314">
        <v>0</v>
      </c>
      <c r="D6" s="314">
        <f>+C6+1</f>
        <v>1</v>
      </c>
      <c r="E6" s="314">
        <f t="shared" ref="E6:R6" si="1">+D6+1</f>
        <v>2</v>
      </c>
      <c r="F6" s="314">
        <f t="shared" si="1"/>
        <v>3</v>
      </c>
      <c r="G6" s="314">
        <f t="shared" si="1"/>
        <v>4</v>
      </c>
      <c r="H6" s="314">
        <f t="shared" si="1"/>
        <v>5</v>
      </c>
      <c r="I6" s="314">
        <f t="shared" si="1"/>
        <v>6</v>
      </c>
      <c r="J6" s="314">
        <f t="shared" si="1"/>
        <v>7</v>
      </c>
      <c r="K6" s="314">
        <f t="shared" si="1"/>
        <v>8</v>
      </c>
      <c r="L6" s="314">
        <f t="shared" si="1"/>
        <v>9</v>
      </c>
      <c r="M6" s="314">
        <f t="shared" si="1"/>
        <v>10</v>
      </c>
      <c r="N6" s="314">
        <f t="shared" si="1"/>
        <v>11</v>
      </c>
      <c r="O6" s="314">
        <f t="shared" si="1"/>
        <v>12</v>
      </c>
      <c r="P6" s="314">
        <f t="shared" si="1"/>
        <v>13</v>
      </c>
      <c r="Q6" s="314">
        <f t="shared" si="1"/>
        <v>14</v>
      </c>
      <c r="R6" s="342">
        <f t="shared" si="1"/>
        <v>15</v>
      </c>
    </row>
    <row r="7" spans="2:22" ht="19.75" x14ac:dyDescent="0.65">
      <c r="B7" s="336" t="s">
        <v>98</v>
      </c>
      <c r="C7" s="333">
        <f>C8</f>
        <v>0</v>
      </c>
      <c r="D7" s="333">
        <f>D8</f>
        <v>2385959.2607818213</v>
      </c>
      <c r="E7" s="333">
        <f>E8</f>
        <v>2581792.125555913</v>
      </c>
      <c r="F7" s="333">
        <f>F8</f>
        <v>1355436.6897085316</v>
      </c>
      <c r="G7" s="333">
        <f>G8</f>
        <v>1423245.0185687081</v>
      </c>
      <c r="H7" s="333">
        <f t="shared" ref="H7:Q7" si="2">H8</f>
        <v>1494289.9829937164</v>
      </c>
      <c r="I7" s="333">
        <f t="shared" si="2"/>
        <v>1568714.5983570025</v>
      </c>
      <c r="J7" s="333">
        <f t="shared" si="2"/>
        <v>834259.73235302616</v>
      </c>
      <c r="K7" s="333">
        <f t="shared" si="2"/>
        <v>896957.0583190216</v>
      </c>
      <c r="L7" s="333">
        <f t="shared" si="2"/>
        <v>964257.15118282125</v>
      </c>
      <c r="M7" s="333">
        <f t="shared" si="2"/>
        <v>1036487.0226159444</v>
      </c>
      <c r="N7" s="333">
        <f t="shared" si="2"/>
        <v>539261.55373657378</v>
      </c>
      <c r="O7" s="333">
        <f t="shared" si="2"/>
        <v>546173.5644656081</v>
      </c>
      <c r="P7" s="333">
        <f t="shared" si="2"/>
        <v>553105.87711495836</v>
      </c>
      <c r="Q7" s="333">
        <f t="shared" si="2"/>
        <v>560055.46412828809</v>
      </c>
      <c r="R7" s="337"/>
    </row>
    <row r="8" spans="2:22" ht="19.75" x14ac:dyDescent="0.65">
      <c r="B8" s="336" t="s">
        <v>99</v>
      </c>
      <c r="C8" s="333">
        <f>C9+C10+C11</f>
        <v>0</v>
      </c>
      <c r="D8" s="333">
        <f>D9+D10+D11</f>
        <v>2385959.2607818213</v>
      </c>
      <c r="E8" s="333">
        <f>E9+E10+E11</f>
        <v>2581792.125555913</v>
      </c>
      <c r="F8" s="333">
        <f>+F9+F10+F11</f>
        <v>1355436.6897085316</v>
      </c>
      <c r="G8" s="333">
        <f t="shared" ref="G8:Q8" si="3">+G9+G10+G11</f>
        <v>1423245.0185687081</v>
      </c>
      <c r="H8" s="333">
        <f t="shared" si="3"/>
        <v>1494289.9829937164</v>
      </c>
      <c r="I8" s="333">
        <f t="shared" si="3"/>
        <v>1568714.5983570025</v>
      </c>
      <c r="J8" s="333">
        <f t="shared" si="3"/>
        <v>834259.73235302616</v>
      </c>
      <c r="K8" s="333">
        <f t="shared" si="3"/>
        <v>896957.0583190216</v>
      </c>
      <c r="L8" s="333">
        <f t="shared" si="3"/>
        <v>964257.15118282125</v>
      </c>
      <c r="M8" s="333">
        <f t="shared" si="3"/>
        <v>1036487.0226159444</v>
      </c>
      <c r="N8" s="333">
        <f t="shared" si="3"/>
        <v>539261.55373657378</v>
      </c>
      <c r="O8" s="333">
        <f t="shared" si="3"/>
        <v>546173.5644656081</v>
      </c>
      <c r="P8" s="333">
        <f t="shared" si="3"/>
        <v>553105.87711495836</v>
      </c>
      <c r="Q8" s="333">
        <f t="shared" si="3"/>
        <v>560055.46412828809</v>
      </c>
      <c r="R8" s="337"/>
    </row>
    <row r="9" spans="2:22" ht="18.45" x14ac:dyDescent="0.65">
      <c r="B9" s="338" t="s">
        <v>100</v>
      </c>
      <c r="C9" s="74">
        <f>'صورت سود و زیان'!C7</f>
        <v>0</v>
      </c>
      <c r="D9" s="74">
        <f>'صورت سود و زیان'!D7</f>
        <v>2385959.2607818213</v>
      </c>
      <c r="E9" s="74">
        <f>'صورت سود و زیان'!E7</f>
        <v>2581792.125555913</v>
      </c>
      <c r="F9" s="74">
        <f>'صورت سود و زیان'!F7</f>
        <v>1355436.6897085316</v>
      </c>
      <c r="G9" s="74">
        <f>'صورت سود و زیان'!G7</f>
        <v>1423245.0185687081</v>
      </c>
      <c r="H9" s="74">
        <f>'صورت سود و زیان'!H7</f>
        <v>1494289.9829937164</v>
      </c>
      <c r="I9" s="74">
        <f>'صورت سود و زیان'!I7</f>
        <v>1568714.5983570025</v>
      </c>
      <c r="J9" s="74">
        <f>'صورت سود و زیان'!J7</f>
        <v>834259.73235302616</v>
      </c>
      <c r="K9" s="74">
        <f>'صورت سود و زیان'!K7</f>
        <v>896957.0583190216</v>
      </c>
      <c r="L9" s="74">
        <f>'صورت سود و زیان'!L7</f>
        <v>964257.15118282125</v>
      </c>
      <c r="M9" s="74">
        <f>'صورت سود و زیان'!M7</f>
        <v>1036487.0226159444</v>
      </c>
      <c r="N9" s="74">
        <f>'صورت سود و زیان'!N7</f>
        <v>539261.55373657378</v>
      </c>
      <c r="O9" s="74">
        <f>'صورت سود و زیان'!O7</f>
        <v>546173.5644656081</v>
      </c>
      <c r="P9" s="74">
        <f>'صورت سود و زیان'!P7</f>
        <v>553105.87711495836</v>
      </c>
      <c r="Q9" s="74">
        <f>'صورت سود و زیان'!Q7</f>
        <v>560055.46412828809</v>
      </c>
      <c r="R9" s="339"/>
    </row>
    <row r="10" spans="2:22" ht="19.75" x14ac:dyDescent="0.65">
      <c r="B10" s="338" t="s">
        <v>101</v>
      </c>
      <c r="C10" s="333">
        <v>0</v>
      </c>
      <c r="D10" s="333">
        <v>0</v>
      </c>
      <c r="E10" s="333">
        <v>0</v>
      </c>
      <c r="F10" s="333">
        <v>0</v>
      </c>
      <c r="G10" s="333">
        <v>0</v>
      </c>
      <c r="H10" s="333">
        <v>0</v>
      </c>
      <c r="I10" s="333">
        <v>0</v>
      </c>
      <c r="J10" s="333">
        <v>0</v>
      </c>
      <c r="K10" s="333">
        <v>0</v>
      </c>
      <c r="L10" s="333">
        <v>0</v>
      </c>
      <c r="M10" s="333">
        <v>0</v>
      </c>
      <c r="N10" s="333">
        <v>0</v>
      </c>
      <c r="O10" s="333">
        <v>0</v>
      </c>
      <c r="P10" s="333">
        <v>0</v>
      </c>
      <c r="Q10" s="333">
        <v>0</v>
      </c>
      <c r="R10" s="308"/>
    </row>
    <row r="11" spans="2:22" ht="19.75" x14ac:dyDescent="0.65">
      <c r="B11" s="338" t="s">
        <v>102</v>
      </c>
      <c r="C11" s="333">
        <v>0</v>
      </c>
      <c r="D11" s="333">
        <v>0</v>
      </c>
      <c r="E11" s="333">
        <v>0</v>
      </c>
      <c r="F11" s="333">
        <v>0</v>
      </c>
      <c r="G11" s="333">
        <v>0</v>
      </c>
      <c r="H11" s="333">
        <v>0</v>
      </c>
      <c r="I11" s="333">
        <v>0</v>
      </c>
      <c r="J11" s="333">
        <v>0</v>
      </c>
      <c r="K11" s="333">
        <v>0</v>
      </c>
      <c r="L11" s="333">
        <v>0</v>
      </c>
      <c r="M11" s="333">
        <v>0</v>
      </c>
      <c r="N11" s="333">
        <v>0</v>
      </c>
      <c r="O11" s="333">
        <v>0</v>
      </c>
      <c r="P11" s="333">
        <v>0</v>
      </c>
      <c r="Q11" s="333">
        <v>0</v>
      </c>
      <c r="R11" s="337">
        <f>'ارزش قراضه'!F13</f>
        <v>543205.54854381259</v>
      </c>
    </row>
    <row r="12" spans="2:22" ht="19.75" x14ac:dyDescent="0.65">
      <c r="B12" s="336" t="s">
        <v>103</v>
      </c>
      <c r="C12" s="333">
        <f>+C13+C17+C18+C19+C20</f>
        <v>4109873.6376454984</v>
      </c>
      <c r="D12" s="333">
        <f t="shared" ref="D12:Q12" si="4">+D13+D17+D18+D19+D20</f>
        <v>970488.02451095602</v>
      </c>
      <c r="E12" s="333">
        <f t="shared" si="4"/>
        <v>523436.08529320016</v>
      </c>
      <c r="F12" s="333">
        <f>+F13+F17+F18+F19+F20</f>
        <v>508862.94783578772</v>
      </c>
      <c r="G12" s="333">
        <f t="shared" si="4"/>
        <v>508400.78546419385</v>
      </c>
      <c r="H12" s="333">
        <f t="shared" si="4"/>
        <v>506778.29375705362</v>
      </c>
      <c r="I12" s="333">
        <f t="shared" si="4"/>
        <v>506349.21281797532</v>
      </c>
      <c r="J12" s="333">
        <f t="shared" si="4"/>
        <v>501288.9494133594</v>
      </c>
      <c r="K12" s="333">
        <f t="shared" si="4"/>
        <v>500214.51197558135</v>
      </c>
      <c r="L12" s="333">
        <f t="shared" si="4"/>
        <v>498793.87967578979</v>
      </c>
      <c r="M12" s="333">
        <f t="shared" si="4"/>
        <v>498127.91066581628</v>
      </c>
      <c r="N12" s="333">
        <f t="shared" si="4"/>
        <v>494254.41521561117</v>
      </c>
      <c r="O12" s="333">
        <f t="shared" si="4"/>
        <v>492901.7558051169</v>
      </c>
      <c r="P12" s="333">
        <f t="shared" si="4"/>
        <v>491288.11375927797</v>
      </c>
      <c r="Q12" s="333">
        <f t="shared" si="4"/>
        <v>490162.55482158664</v>
      </c>
      <c r="R12" s="337"/>
    </row>
    <row r="13" spans="2:22" ht="19.75" x14ac:dyDescent="0.65">
      <c r="B13" s="336" t="s">
        <v>508</v>
      </c>
      <c r="C13" s="74">
        <f>+C14+C15+C16</f>
        <v>3762483.7376441732</v>
      </c>
      <c r="D13" s="74">
        <f>+D14+D15+D16</f>
        <v>416628.93758022838</v>
      </c>
      <c r="E13" s="74">
        <f>+E14+E15+E16</f>
        <v>0</v>
      </c>
      <c r="F13" s="74">
        <f>+F14+F15+F16</f>
        <v>0</v>
      </c>
      <c r="G13" s="74">
        <f>+G14+G15+G16</f>
        <v>0</v>
      </c>
      <c r="H13" s="74">
        <f t="shared" ref="H13:Q13" si="5">+H14+H15+H16</f>
        <v>0</v>
      </c>
      <c r="I13" s="74">
        <f t="shared" si="5"/>
        <v>0</v>
      </c>
      <c r="J13" s="74">
        <f t="shared" si="5"/>
        <v>0</v>
      </c>
      <c r="K13" s="74">
        <f t="shared" si="5"/>
        <v>0</v>
      </c>
      <c r="L13" s="74">
        <f t="shared" si="5"/>
        <v>0</v>
      </c>
      <c r="M13" s="74">
        <f t="shared" si="5"/>
        <v>0</v>
      </c>
      <c r="N13" s="74">
        <f t="shared" si="5"/>
        <v>0</v>
      </c>
      <c r="O13" s="74">
        <f t="shared" si="5"/>
        <v>0</v>
      </c>
      <c r="P13" s="74">
        <f t="shared" si="5"/>
        <v>0</v>
      </c>
      <c r="Q13" s="74">
        <f t="shared" si="5"/>
        <v>0</v>
      </c>
      <c r="R13" s="339"/>
    </row>
    <row r="14" spans="2:22" ht="18.45" x14ac:dyDescent="0.65">
      <c r="B14" s="338" t="s">
        <v>509</v>
      </c>
      <c r="C14" s="74">
        <f>'سرمایه ثابت'!$F$17*SUM('سرمایه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3749660.4382220553</v>
      </c>
      <c r="D14" s="74">
        <f>'سرمایه ثابت'!$F$18*SUM('سرمایه ثابت'!$G$31,'سرمایه ثابت'!$G$37,'سرمایه ثابت'!$G$43,'سرمایه ثابت'!$G$52,'سرمایه ثابت'!$G$60,'سرمایه ثابت'!$G$64,'سرمایه ثابت'!$G$65,'سرمایه ثابت'!$G$68,'سرمایه ثابت'!$G$72)</f>
        <v>416628.93758022838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339"/>
    </row>
    <row r="15" spans="2:22" ht="18.45" x14ac:dyDescent="0.65">
      <c r="B15" s="338" t="s">
        <v>104</v>
      </c>
      <c r="C15" s="74">
        <f>'سرمایه ثابت'!$G$71</f>
        <v>12823.299422118011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339"/>
    </row>
    <row r="16" spans="2:22" ht="18.45" x14ac:dyDescent="0.65">
      <c r="B16" s="338" t="s">
        <v>105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339"/>
    </row>
    <row r="17" spans="2:22" ht="18.45" x14ac:dyDescent="0.65">
      <c r="B17" s="338" t="s">
        <v>106</v>
      </c>
      <c r="C17" s="74">
        <f>'سرمایه درگردش'!C16</f>
        <v>76166.07968485626</v>
      </c>
      <c r="D17" s="74">
        <f>'سرمایه درگردش'!D16</f>
        <v>59605.483064450789</v>
      </c>
      <c r="E17" s="74">
        <f>'سرمایه درگردش'!E16</f>
        <v>6114.7388822827197</v>
      </c>
      <c r="F17" s="74">
        <f>'سرمایه درگردش'!F16</f>
        <v>-937.16112331283512</v>
      </c>
      <c r="G17" s="74">
        <f>'سرمایه درگردش'!G16</f>
        <v>-348.90486662759213</v>
      </c>
      <c r="H17" s="74">
        <f>'سرمایه درگردش'!F16</f>
        <v>-937.16112331283512</v>
      </c>
      <c r="I17" s="74">
        <f>'سرمایه درگردش'!G16</f>
        <v>-348.90486662759213</v>
      </c>
      <c r="J17" s="74">
        <f>'سرمایه درگردش'!H16</f>
        <v>-347.43366864358541</v>
      </c>
      <c r="K17" s="74">
        <f>'سرمایه درگردش'!I16</f>
        <v>-345.89746367165935</v>
      </c>
      <c r="L17" s="74">
        <f>'سرمایه درگردش'!J16</f>
        <v>-713.5699552022561</v>
      </c>
      <c r="M17" s="74">
        <f>'سرمایه درگردش'!K16</f>
        <v>-351.22804976129555</v>
      </c>
      <c r="N17" s="74">
        <f>'سرمایه درگردش'!L16</f>
        <v>-349.13588298959075</v>
      </c>
      <c r="O17" s="74">
        <f>'سرمایه درگردش'!M16</f>
        <v>-346.89507454898558</v>
      </c>
      <c r="P17" s="74">
        <f>'سرمایه درگردش'!N16</f>
        <v>-605.73841105471365</v>
      </c>
      <c r="Q17" s="74">
        <f>'سرمایه درگردش'!O16</f>
        <v>-376.58501123264432</v>
      </c>
      <c r="R17" s="339"/>
    </row>
    <row r="18" spans="2:22" ht="18.45" x14ac:dyDescent="0.65">
      <c r="B18" s="338" t="s">
        <v>107</v>
      </c>
      <c r="C18" s="74">
        <f>'هزینه‌های تولید'!D16</f>
        <v>271223.81531646894</v>
      </c>
      <c r="D18" s="74">
        <f>'هزینه‌های تولید'!E16</f>
        <v>482323.80756236764</v>
      </c>
      <c r="E18" s="74">
        <f>'هزینه‌های تولید'!F16</f>
        <v>504412.38578313787</v>
      </c>
      <c r="F18" s="74">
        <f>'هزینه‌های تولید'!G16</f>
        <v>503022.92551055789</v>
      </c>
      <c r="G18" s="74">
        <f>'هزینه‌های تولید'!H16</f>
        <v>501633.46523797791</v>
      </c>
      <c r="H18" s="74">
        <f>'هزینه‌های تولید'!I16</f>
        <v>500244.00496539788</v>
      </c>
      <c r="I18" s="74">
        <f>'هزینه‌های تولید'!J16</f>
        <v>498854.5446928179</v>
      </c>
      <c r="J18" s="74">
        <f>'هزینه‌های تولید'!K16</f>
        <v>497465.08442023786</v>
      </c>
      <c r="K18" s="74">
        <f>'هزینه‌های تولید'!L16</f>
        <v>496075.62414765789</v>
      </c>
      <c r="L18" s="74">
        <f>'هزینه‌های تولید'!M16</f>
        <v>494686.16387507791</v>
      </c>
      <c r="M18" s="74">
        <f>'هزینه‌های تولید'!N16</f>
        <v>493296.70360249787</v>
      </c>
      <c r="N18" s="74">
        <f>'هزینه‌های تولید'!O16</f>
        <v>491907.24332991784</v>
      </c>
      <c r="O18" s="74">
        <f>'هزینه‌های تولید'!P16</f>
        <v>490517.78305733786</v>
      </c>
      <c r="P18" s="74">
        <f>'هزینه‌های تولید'!Q16</f>
        <v>489128.32278475788</v>
      </c>
      <c r="Q18" s="74">
        <f>'هزینه‌های تولید'!R16</f>
        <v>487738.86251217785</v>
      </c>
      <c r="R18" s="339"/>
    </row>
    <row r="19" spans="2:22" ht="18.45" x14ac:dyDescent="0.65">
      <c r="B19" s="338" t="s">
        <v>398</v>
      </c>
      <c r="C19" s="74">
        <f>'هزینه‌های تولید'!D$18</f>
        <v>0</v>
      </c>
      <c r="D19" s="74">
        <f>'هزینه‌های تولید'!E$18</f>
        <v>0</v>
      </c>
      <c r="E19" s="74">
        <f>'هزینه‌های تولید'!F$18</f>
        <v>0</v>
      </c>
      <c r="F19" s="74">
        <f>'هزینه‌های تولید'!G$18</f>
        <v>0</v>
      </c>
      <c r="G19" s="74">
        <f>'هزینه‌های تولید'!H$18</f>
        <v>0</v>
      </c>
      <c r="H19" s="74">
        <f>'هزینه‌های تولید'!I$18</f>
        <v>0</v>
      </c>
      <c r="I19" s="74">
        <f>'هزینه‌های تولید'!J$18</f>
        <v>0</v>
      </c>
      <c r="J19" s="74">
        <f>'هزینه‌های تولید'!K$18</f>
        <v>0</v>
      </c>
      <c r="K19" s="74">
        <f>'هزینه‌های تولید'!L$18</f>
        <v>0</v>
      </c>
      <c r="L19" s="74">
        <f>'هزینه‌های تولید'!M$18</f>
        <v>0</v>
      </c>
      <c r="M19" s="74">
        <f>'هزینه‌های تولید'!N$18</f>
        <v>0</v>
      </c>
      <c r="N19" s="74">
        <f>'هزینه‌های تولید'!O$18</f>
        <v>0</v>
      </c>
      <c r="O19" s="74">
        <f>'هزینه‌های تولید'!P$18</f>
        <v>0</v>
      </c>
      <c r="P19" s="74">
        <f>'هزینه‌های تولید'!Q$18</f>
        <v>0</v>
      </c>
      <c r="Q19" s="74">
        <f>'هزینه‌های تولید'!R$18</f>
        <v>0</v>
      </c>
      <c r="R19" s="339"/>
    </row>
    <row r="20" spans="2:22" ht="18.45" x14ac:dyDescent="0.65">
      <c r="B20" s="338" t="s">
        <v>108</v>
      </c>
      <c r="C20" s="74">
        <f>'هزینه‌های تولید'!D$20</f>
        <v>5.0000000000000001E-3</v>
      </c>
      <c r="D20" s="74">
        <f>'هزینه‌های تولید'!E$20</f>
        <v>11929.796303909106</v>
      </c>
      <c r="E20" s="74">
        <f>'هزینه‌های تولید'!F$20</f>
        <v>12908.960627779565</v>
      </c>
      <c r="F20" s="74">
        <f>'هزینه‌های تولید'!G$20</f>
        <v>6777.1834485426589</v>
      </c>
      <c r="G20" s="74">
        <f>'هزینه‌های تولید'!H$20</f>
        <v>7116.2250928435406</v>
      </c>
      <c r="H20" s="74">
        <f>'هزینه‌های تولید'!I$20</f>
        <v>7471.4499149685826</v>
      </c>
      <c r="I20" s="74">
        <f>'هزینه‌های تولید'!J$20</f>
        <v>7843.572991785014</v>
      </c>
      <c r="J20" s="74">
        <f>'هزینه‌های تولید'!K$20</f>
        <v>4171.2986617651313</v>
      </c>
      <c r="K20" s="74">
        <f>'هزینه‌های تولید'!L$20</f>
        <v>4484.785291595108</v>
      </c>
      <c r="L20" s="74">
        <f>'هزینه‌های تولید'!M$20</f>
        <v>4821.2857559141066</v>
      </c>
      <c r="M20" s="74">
        <f>'هزینه‌های تولید'!N$20</f>
        <v>5182.4351130797222</v>
      </c>
      <c r="N20" s="74">
        <f>'هزینه‌های تولید'!O$20</f>
        <v>2696.3077686828688</v>
      </c>
      <c r="O20" s="74">
        <f>'هزینه‌های تولید'!P$20</f>
        <v>2730.8678223280403</v>
      </c>
      <c r="P20" s="74">
        <f>'هزینه‌های تولید'!Q$20</f>
        <v>2765.5293855747923</v>
      </c>
      <c r="Q20" s="74">
        <f>'هزینه‌های تولید'!R$20</f>
        <v>2800.2773206414404</v>
      </c>
      <c r="R20" s="339"/>
    </row>
    <row r="21" spans="2:22" ht="18.45" x14ac:dyDescent="0.65">
      <c r="B21" s="338" t="s">
        <v>109</v>
      </c>
      <c r="C21" s="74">
        <v>0</v>
      </c>
      <c r="D21" s="74">
        <f>'صورت سود و زیان'!D14</f>
        <v>382994.75457116298</v>
      </c>
      <c r="E21" s="74">
        <f>'صورت سود و زیان'!E14</f>
        <v>424350.69513551088</v>
      </c>
      <c r="F21" s="74">
        <f>'صورت سود و زیان'!F14</f>
        <v>120559.8155331272</v>
      </c>
      <c r="G21" s="74">
        <f>'صورت سود و زیان'!G14</f>
        <v>138692.17240174848</v>
      </c>
      <c r="H21" s="74">
        <f>'صورت سود و زیان'!H14</f>
        <v>157629.64236712168</v>
      </c>
      <c r="I21" s="74">
        <f>'صورت سود و زیان'!I14</f>
        <v>177407.80050339148</v>
      </c>
      <c r="J21" s="74">
        <f>'صورت سود و زیان'!J14</f>
        <v>-4022.8123504452524</v>
      </c>
      <c r="K21" s="74">
        <f>'صورت سود و زیان'!K14</f>
        <v>12838.182548248471</v>
      </c>
      <c r="L21" s="74">
        <f>'صورت سود و زیان'!L14</f>
        <v>30844.115712770988</v>
      </c>
      <c r="M21" s="74">
        <f>'صورت سود و زیان'!M14</f>
        <v>50076.331296412798</v>
      </c>
      <c r="N21" s="74">
        <f>'صورت سود و زیان'!N14</f>
        <v>-72343.469022678299</v>
      </c>
      <c r="O21" s="74">
        <f>'صورت سود و زیان'!O14</f>
        <v>-69359.071289178595</v>
      </c>
      <c r="P21" s="74">
        <f>'صورت سود و زیان'!P14</f>
        <v>-66369.623453000371</v>
      </c>
      <c r="Q21" s="74">
        <f>'صورت سود و زیان'!Q14</f>
        <v>-63375.878618782182</v>
      </c>
      <c r="R21" s="339"/>
    </row>
    <row r="22" spans="2:22" ht="19.75" x14ac:dyDescent="0.65">
      <c r="B22" s="340" t="s">
        <v>401</v>
      </c>
      <c r="C22" s="332">
        <f>+C7-C12-C21</f>
        <v>-4109873.6376454984</v>
      </c>
      <c r="D22" s="332">
        <f>+D7-D12-D21</f>
        <v>1032476.4816997024</v>
      </c>
      <c r="E22" s="332">
        <f>+E7-E12-E21</f>
        <v>1634005.3451272021</v>
      </c>
      <c r="F22" s="332">
        <f>+F7-F12-F21</f>
        <v>726013.92633961677</v>
      </c>
      <c r="G22" s="332">
        <f t="shared" ref="G22" si="6">+G7-G12-G21</f>
        <v>776152.06070276571</v>
      </c>
      <c r="H22" s="332">
        <f t="shared" ref="H22" si="7">+H7-H12-H21</f>
        <v>829882.04686954117</v>
      </c>
      <c r="I22" s="332">
        <f>+I7-I12-I21</f>
        <v>884957.58503563562</v>
      </c>
      <c r="J22" s="332">
        <f t="shared" ref="J22" si="8">+J7-J12-J21</f>
        <v>336993.59529011202</v>
      </c>
      <c r="K22" s="334">
        <f t="shared" ref="K22:L22" si="9">+K7-K12-K21</f>
        <v>383904.36379519175</v>
      </c>
      <c r="L22" s="334">
        <f t="shared" si="9"/>
        <v>434619.15579426044</v>
      </c>
      <c r="M22" s="334">
        <f t="shared" ref="M22" si="10">+M7-M12-M21</f>
        <v>488282.78065371531</v>
      </c>
      <c r="N22" s="334">
        <f t="shared" ref="N22:O22" si="11">+N7-N12-N21</f>
        <v>117350.60754364092</v>
      </c>
      <c r="O22" s="334">
        <f t="shared" si="11"/>
        <v>122630.87994966979</v>
      </c>
      <c r="P22" s="334">
        <f t="shared" ref="P22" si="12">+P7-P12-P21</f>
        <v>128187.38680868076</v>
      </c>
      <c r="Q22" s="334">
        <f t="shared" ref="Q22" si="13">+Q7-Q12-Q21</f>
        <v>133268.78792548363</v>
      </c>
      <c r="R22" s="341">
        <f>'ارزش قراضه'!F13</f>
        <v>543205.54854381259</v>
      </c>
    </row>
    <row r="23" spans="2:22" ht="19.75" x14ac:dyDescent="0.65">
      <c r="B23" s="340" t="s">
        <v>110</v>
      </c>
      <c r="C23" s="332">
        <f>C22</f>
        <v>-4109873.6376454984</v>
      </c>
      <c r="D23" s="332">
        <f>D22+C23</f>
        <v>-3077397.1559457961</v>
      </c>
      <c r="E23" s="332">
        <f>E22+D23</f>
        <v>-1443391.8108185939</v>
      </c>
      <c r="F23" s="332">
        <f>F22+E23</f>
        <v>-717377.88447897718</v>
      </c>
      <c r="G23" s="332">
        <f>+G22+F23</f>
        <v>58774.176223788527</v>
      </c>
      <c r="H23" s="332">
        <f t="shared" ref="H23:Q23" si="14">+H22+G23</f>
        <v>888656.2230933297</v>
      </c>
      <c r="I23" s="332">
        <f>+I22+H23</f>
        <v>1773613.8081289653</v>
      </c>
      <c r="J23" s="332">
        <f t="shared" si="14"/>
        <v>2110607.4034190774</v>
      </c>
      <c r="K23" s="332">
        <f t="shared" si="14"/>
        <v>2494511.7672142694</v>
      </c>
      <c r="L23" s="332">
        <f t="shared" si="14"/>
        <v>2929130.9230085299</v>
      </c>
      <c r="M23" s="332">
        <f t="shared" si="14"/>
        <v>3417413.7036622451</v>
      </c>
      <c r="N23" s="332">
        <f t="shared" si="14"/>
        <v>3534764.3112058858</v>
      </c>
      <c r="O23" s="332">
        <f t="shared" si="14"/>
        <v>3657395.1911555557</v>
      </c>
      <c r="P23" s="332">
        <f t="shared" si="14"/>
        <v>3785582.5779642365</v>
      </c>
      <c r="Q23" s="332">
        <f t="shared" si="14"/>
        <v>3918851.3658897202</v>
      </c>
      <c r="R23" s="341"/>
    </row>
    <row r="24" spans="2:22" ht="19.75" x14ac:dyDescent="0.65">
      <c r="B24" s="336" t="s">
        <v>113</v>
      </c>
      <c r="C24" s="332">
        <f>C22/(1+'داده هاي اقتصاد كلان'!$D$18)^C6</f>
        <v>-4109873.6376454984</v>
      </c>
      <c r="D24" s="332">
        <f>D22/(1+'داده هاي اقتصاد كلان'!$D$18)^D6</f>
        <v>974034.41669783241</v>
      </c>
      <c r="E24" s="332">
        <f>E22/(1+'داده هاي اقتصاد كلان'!$D$18)^E6</f>
        <v>1454258.9401274491</v>
      </c>
      <c r="F24" s="332">
        <f>F22/(1+'داده هاي اقتصاد كلان'!$D$18)^F6</f>
        <v>609575.29230473528</v>
      </c>
      <c r="G24" s="332">
        <f>G22/(1+'داده هاي اقتصاد كلان'!$D$18)^G6</f>
        <v>614785.12899179209</v>
      </c>
      <c r="H24" s="332">
        <f>H22/(1+'داده هاي اقتصاد كلان'!$D$18)^H6</f>
        <v>620136.14203807677</v>
      </c>
      <c r="I24" s="332">
        <f>I22/(1+'داده هاي اقتصاد كلان'!$D$18)^I6</f>
        <v>623860.17741291248</v>
      </c>
      <c r="J24" s="332">
        <f>J22/(1+'داده هاي اقتصاد كلان'!$D$18)^J6</f>
        <v>224119.98779285557</v>
      </c>
      <c r="K24" s="332">
        <f>K22/(1+'داده هاي اقتصاد كلان'!$D$18)^K6</f>
        <v>240866.34725721649</v>
      </c>
      <c r="L24" s="332">
        <f>L22/(1+'داده هاي اقتصاد كلان'!$D$18)^L6</f>
        <v>257250.41053533932</v>
      </c>
      <c r="M24" s="332">
        <f>M22/(1+'داده هاي اقتصاد كلان'!$D$18)^M6</f>
        <v>272654.5543746248</v>
      </c>
      <c r="N24" s="332">
        <f>N22/(1+'داده هاي اقتصاد كلان'!$D$18)^N6</f>
        <v>61818.836151117837</v>
      </c>
      <c r="O24" s="332">
        <f>O22/(1+'داده هاي اقتصاد كلان'!$D$18)^O6</f>
        <v>60943.790363474945</v>
      </c>
      <c r="P24" s="332">
        <f>P22/(1+'داده هاي اقتصاد كلان'!$D$18)^P6</f>
        <v>60099.249095197039</v>
      </c>
      <c r="Q24" s="332">
        <f>Q22/(1+'داده هاي اقتصاد كلان'!$D$18)^Q6</f>
        <v>58944.913421151519</v>
      </c>
      <c r="R24" s="474"/>
    </row>
    <row r="25" spans="2:22" ht="19.75" x14ac:dyDescent="0.65">
      <c r="B25" s="340" t="s">
        <v>402</v>
      </c>
      <c r="C25" s="332">
        <f>C22/(1+'داده هاي اقتصاد كلان'!$D$18)^C6</f>
        <v>-4109873.6376454984</v>
      </c>
      <c r="D25" s="332">
        <f>D24+C25</f>
        <v>-3135839.2209476661</v>
      </c>
      <c r="E25" s="332">
        <f>E24+D25</f>
        <v>-1681580.280820217</v>
      </c>
      <c r="F25" s="332">
        <f>F24+E25</f>
        <v>-1072004.9885154818</v>
      </c>
      <c r="G25" s="332">
        <f>G24+F25</f>
        <v>-457219.85952368972</v>
      </c>
      <c r="H25" s="332">
        <f t="shared" ref="H25:J25" si="15">H24+G25</f>
        <v>162916.28251438704</v>
      </c>
      <c r="I25" s="332">
        <f t="shared" si="15"/>
        <v>786776.45992729953</v>
      </c>
      <c r="J25" s="332">
        <f t="shared" si="15"/>
        <v>1010896.4477201551</v>
      </c>
      <c r="K25" s="332">
        <f>K24+J25</f>
        <v>1251762.7949773716</v>
      </c>
      <c r="L25" s="332">
        <f t="shared" ref="L25:Q25" si="16">L24+K25</f>
        <v>1509013.2055127108</v>
      </c>
      <c r="M25" s="332">
        <f t="shared" si="16"/>
        <v>1781667.7598873356</v>
      </c>
      <c r="N25" s="332">
        <f t="shared" si="16"/>
        <v>1843486.5960384535</v>
      </c>
      <c r="O25" s="332">
        <f t="shared" si="16"/>
        <v>1904430.3864019285</v>
      </c>
      <c r="P25" s="332">
        <f t="shared" si="16"/>
        <v>1964529.6354971256</v>
      </c>
      <c r="Q25" s="332">
        <f t="shared" si="16"/>
        <v>2023474.548918277</v>
      </c>
      <c r="R25" s="341"/>
    </row>
    <row r="26" spans="2:22" ht="18.45" hidden="1" x14ac:dyDescent="0.65">
      <c r="B26" s="618" t="s">
        <v>111</v>
      </c>
      <c r="C26" s="335">
        <v>0</v>
      </c>
      <c r="D26" s="335">
        <f t="shared" ref="D26:Q26" si="17">-C25/D25</f>
        <v>-1.3106136342039483</v>
      </c>
      <c r="E26" s="335">
        <f t="shared" si="17"/>
        <v>-1.8648168373014649</v>
      </c>
      <c r="F26" s="335">
        <f t="shared" si="17"/>
        <v>-1.5686310220896251</v>
      </c>
      <c r="G26" s="335">
        <f t="shared" si="17"/>
        <v>-2.3446159789127412</v>
      </c>
      <c r="H26" s="335">
        <f t="shared" si="17"/>
        <v>2.8064712284563265</v>
      </c>
      <c r="I26" s="335">
        <f t="shared" si="17"/>
        <v>-0.20706806928290786</v>
      </c>
      <c r="J26" s="335">
        <f t="shared" si="17"/>
        <v>-0.77829580042712898</v>
      </c>
      <c r="K26" s="335">
        <f t="shared" si="17"/>
        <v>-0.80757828222433259</v>
      </c>
      <c r="L26" s="335">
        <f t="shared" si="17"/>
        <v>-0.82952408262859811</v>
      </c>
      <c r="M26" s="335">
        <f t="shared" si="17"/>
        <v>-0.84696666768451478</v>
      </c>
      <c r="N26" s="335">
        <f t="shared" si="17"/>
        <v>-0.96646634899111117</v>
      </c>
      <c r="O26" s="335">
        <f t="shared" si="17"/>
        <v>-0.96799894036630185</v>
      </c>
      <c r="P26" s="335">
        <f t="shared" si="17"/>
        <v>-0.96940781752066119</v>
      </c>
      <c r="Q26" s="335">
        <f t="shared" si="17"/>
        <v>-0.97086945647393363</v>
      </c>
      <c r="R26" s="475">
        <v>0</v>
      </c>
      <c r="S26" s="19"/>
      <c r="T26" s="19"/>
      <c r="U26" s="19"/>
      <c r="V26" s="58"/>
    </row>
    <row r="27" spans="2:22" ht="15.9" thickBot="1" x14ac:dyDescent="0.7">
      <c r="B27" s="619"/>
      <c r="C27" s="476"/>
      <c r="D27" s="476">
        <f>IF(D26&gt;0,C6+1/(1-(D25/C25)),0)</f>
        <v>0</v>
      </c>
      <c r="E27" s="476">
        <f t="shared" ref="E27:H27" si="18">IF(E26&gt;0,D6+1/(1-(E25/D25)),0)</f>
        <v>0</v>
      </c>
      <c r="F27" s="476">
        <f t="shared" si="18"/>
        <v>0</v>
      </c>
      <c r="G27" s="476">
        <f t="shared" si="18"/>
        <v>0</v>
      </c>
      <c r="H27" s="476">
        <f t="shared" si="18"/>
        <v>4.7372894894031443</v>
      </c>
      <c r="I27" s="476">
        <f t="shared" ref="I27" si="19">IF(I26&gt;0,H6+1/(1-(I25/H25)),0)</f>
        <v>0</v>
      </c>
      <c r="J27" s="476">
        <f t="shared" ref="J27" si="20">IF(J26&gt;0,I6+1/(1-(J25/I25)),0)</f>
        <v>0</v>
      </c>
      <c r="K27" s="476">
        <f t="shared" ref="K27:L27" si="21">IF(K26&gt;0,J6+1/(1-(K25/J25)),0)</f>
        <v>0</v>
      </c>
      <c r="L27" s="476">
        <f t="shared" si="21"/>
        <v>0</v>
      </c>
      <c r="M27" s="476">
        <f t="shared" ref="M27" si="22">IF(M26&gt;0,L6+1/(1-(M25/L25)),0)</f>
        <v>0</v>
      </c>
      <c r="N27" s="476">
        <f t="shared" ref="N27" si="23">IF(N26&gt;0,M6+1/(1-(N25/M25)),0)</f>
        <v>0</v>
      </c>
      <c r="O27" s="476">
        <f t="shared" ref="O27:P27" si="24">IF(O26&gt;0,N6+1/(1-(O25/N25)),0)</f>
        <v>0</v>
      </c>
      <c r="P27" s="476">
        <f t="shared" si="24"/>
        <v>0</v>
      </c>
      <c r="Q27" s="476">
        <f t="shared" ref="Q27" si="25">IF(Q26&gt;0,P6+1/(1-(Q25/P25)),0)</f>
        <v>0</v>
      </c>
      <c r="R27" s="476">
        <f t="shared" ref="R27" si="26">IF(R26&gt;0,Q6+1/(1-(R25/Q25)),0)</f>
        <v>0</v>
      </c>
    </row>
    <row r="29" spans="2:22" x14ac:dyDescent="0.65">
      <c r="B29" s="529"/>
    </row>
  </sheetData>
  <mergeCells count="5">
    <mergeCell ref="B4:B5"/>
    <mergeCell ref="R4:R5"/>
    <mergeCell ref="D4:G4"/>
    <mergeCell ref="H4:Q4"/>
    <mergeCell ref="B26:B27"/>
  </mergeCells>
  <pageMargins left="0.7" right="0.7" top="0.75" bottom="0.75" header="0.3" footer="0.3"/>
  <pageSetup orientation="portrait" r:id="rId1"/>
  <ignoredErrors>
    <ignoredError sqref="G1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FAEC-821E-466E-A44A-633B8ABF681E}">
  <sheetPr>
    <tabColor rgb="FF00FFFF"/>
  </sheetPr>
  <dimension ref="B2:Q23"/>
  <sheetViews>
    <sheetView rightToLeft="1" zoomScale="80" zoomScaleNormal="80" workbookViewId="0">
      <selection activeCell="K35" sqref="K35"/>
    </sheetView>
  </sheetViews>
  <sheetFormatPr defaultColWidth="9" defaultRowHeight="15.45" x14ac:dyDescent="0.65"/>
  <cols>
    <col min="1" max="1" width="9" style="18"/>
    <col min="2" max="2" width="40.765625" style="18" bestFit="1" customWidth="1"/>
    <col min="3" max="3" width="25.07421875" style="18" customWidth="1"/>
    <col min="4" max="11" width="20.765625" style="18" customWidth="1"/>
    <col min="12" max="12" width="16.3046875" style="18" bestFit="1" customWidth="1"/>
    <col min="13" max="17" width="20.765625" style="18" customWidth="1"/>
    <col min="18" max="16384" width="9" style="18"/>
  </cols>
  <sheetData>
    <row r="2" spans="2:17" ht="23.6" thickBot="1" x14ac:dyDescent="0.7">
      <c r="B2" s="57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2:17" ht="23.15" customHeight="1" x14ac:dyDescent="0.65">
      <c r="B3" s="620" t="s">
        <v>83</v>
      </c>
      <c r="C3" s="621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2:17" ht="18.899999999999999" thickBot="1" x14ac:dyDescent="0.7">
      <c r="B4" s="622"/>
      <c r="C4" s="623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2:17" ht="19.75" x14ac:dyDescent="0.65">
      <c r="B5" s="607" t="s">
        <v>20</v>
      </c>
      <c r="C5" s="323" t="s">
        <v>214</v>
      </c>
      <c r="D5" s="602" t="str">
        <f>'داده‌های ورودی'!$B$7</f>
        <v>دوره بهره‌برداري اول</v>
      </c>
      <c r="E5" s="602"/>
      <c r="F5" s="602"/>
      <c r="G5" s="602"/>
      <c r="H5" s="602" t="str">
        <f>'داده‌های ورودی'!$B$8</f>
        <v>دوره بهره‌برداري دوم</v>
      </c>
      <c r="I5" s="602"/>
      <c r="J5" s="602"/>
      <c r="K5" s="602"/>
      <c r="L5" s="602"/>
      <c r="M5" s="602"/>
      <c r="N5" s="602"/>
      <c r="O5" s="602"/>
      <c r="P5" s="602"/>
      <c r="Q5" s="603"/>
    </row>
    <row r="6" spans="2:17" ht="19.75" x14ac:dyDescent="0.65">
      <c r="B6" s="608"/>
      <c r="C6" s="314">
        <v>1406</v>
      </c>
      <c r="D6" s="312">
        <f t="shared" ref="D6:O6" si="0">+C6+1</f>
        <v>1407</v>
      </c>
      <c r="E6" s="312">
        <f t="shared" si="0"/>
        <v>1408</v>
      </c>
      <c r="F6" s="312">
        <f t="shared" si="0"/>
        <v>1409</v>
      </c>
      <c r="G6" s="312">
        <f t="shared" si="0"/>
        <v>1410</v>
      </c>
      <c r="H6" s="312">
        <f t="shared" si="0"/>
        <v>1411</v>
      </c>
      <c r="I6" s="312">
        <f t="shared" si="0"/>
        <v>1412</v>
      </c>
      <c r="J6" s="312">
        <f t="shared" si="0"/>
        <v>1413</v>
      </c>
      <c r="K6" s="312">
        <f t="shared" si="0"/>
        <v>1414</v>
      </c>
      <c r="L6" s="312">
        <f t="shared" si="0"/>
        <v>1415</v>
      </c>
      <c r="M6" s="312">
        <f t="shared" si="0"/>
        <v>1416</v>
      </c>
      <c r="N6" s="312">
        <f t="shared" si="0"/>
        <v>1417</v>
      </c>
      <c r="O6" s="312">
        <f t="shared" si="0"/>
        <v>1418</v>
      </c>
      <c r="P6" s="312">
        <f>+O6+1</f>
        <v>1419</v>
      </c>
      <c r="Q6" s="313">
        <f>+P6+1</f>
        <v>1420</v>
      </c>
    </row>
    <row r="7" spans="2:17" ht="19.75" x14ac:dyDescent="0.65">
      <c r="B7" s="320" t="s">
        <v>81</v>
      </c>
      <c r="C7" s="319">
        <f>'تحلیل نقطه سر به سر'!E34</f>
        <v>0</v>
      </c>
      <c r="D7" s="319">
        <f>'تحلیل نقطه سر به سر'!F34</f>
        <v>2385959.2607818213</v>
      </c>
      <c r="E7" s="319">
        <f>'تحلیل نقطه سر به سر'!G34</f>
        <v>2581792.125555913</v>
      </c>
      <c r="F7" s="319">
        <f>'تحلیل نقطه سر به سر'!H34</f>
        <v>1355436.6897085316</v>
      </c>
      <c r="G7" s="319">
        <f>'تحلیل نقطه سر به سر'!I34</f>
        <v>1423245.0185687081</v>
      </c>
      <c r="H7" s="319">
        <f>'تحلیل نقطه سر به سر'!J34</f>
        <v>1494289.9829937164</v>
      </c>
      <c r="I7" s="319">
        <f>'تحلیل نقطه سر به سر'!K34</f>
        <v>1568714.5983570025</v>
      </c>
      <c r="J7" s="319">
        <f>'تحلیل نقطه سر به سر'!L34</f>
        <v>834259.73235302616</v>
      </c>
      <c r="K7" s="319">
        <f>'تحلیل نقطه سر به سر'!M34</f>
        <v>896957.0583190216</v>
      </c>
      <c r="L7" s="319">
        <f>'تحلیل نقطه سر به سر'!N34</f>
        <v>964257.15118282125</v>
      </c>
      <c r="M7" s="319">
        <f>'تحلیل نقطه سر به سر'!O34</f>
        <v>1036487.0226159444</v>
      </c>
      <c r="N7" s="319">
        <f>'تحلیل نقطه سر به سر'!P34</f>
        <v>539261.55373657378</v>
      </c>
      <c r="O7" s="319">
        <f>'تحلیل نقطه سر به سر'!Q34</f>
        <v>546173.5644656081</v>
      </c>
      <c r="P7" s="319">
        <f>'تحلیل نقطه سر به سر'!R34</f>
        <v>553105.87711495836</v>
      </c>
      <c r="Q7" s="321">
        <f>'تحلیل نقطه سر به سر'!S34</f>
        <v>560055.46412828809</v>
      </c>
    </row>
    <row r="8" spans="2:17" ht="19.75" x14ac:dyDescent="0.65">
      <c r="B8" s="320" t="s">
        <v>82</v>
      </c>
      <c r="C8" s="319">
        <f>'تحلیل نقطه سر به سر'!E19</f>
        <v>42735.441371192479</v>
      </c>
      <c r="D8" s="319">
        <f>'تحلیل نقطه سر به سر'!F19</f>
        <v>132219.98698065311</v>
      </c>
      <c r="E8" s="319">
        <f>'تحلیل نقطه سر به سر'!G19</f>
        <v>140570.73982607506</v>
      </c>
      <c r="F8" s="319">
        <f>'تحلیل نقطه سر به سر'!H19</f>
        <v>133879.49391449455</v>
      </c>
      <c r="G8" s="319">
        <f>'تحلیل نقطه سر به سر'!I19</f>
        <v>133659.0668264518</v>
      </c>
      <c r="H8" s="319">
        <f>'تحلیل نقطه سر به سر'!J19</f>
        <v>133454.82291623324</v>
      </c>
      <c r="I8" s="319">
        <f>'تحلیل نقطه سر به سر'!K19</f>
        <v>133267.47726070607</v>
      </c>
      <c r="J8" s="319">
        <f>'تحلیل نقطه سر به سر'!L19</f>
        <v>129035.73419834257</v>
      </c>
      <c r="K8" s="319">
        <f>'تحلیل نقطه سر به سر'!M19</f>
        <v>128789.75209582895</v>
      </c>
      <c r="L8" s="319">
        <f>'تحلیل نقطه سر به سر'!N19</f>
        <v>128566.78382780435</v>
      </c>
      <c r="M8" s="319">
        <f>'تحلیل نقطه سر به سر'!O19</f>
        <v>128368.46445262636</v>
      </c>
      <c r="N8" s="319">
        <f>'تحلیل نقطه سر به سر'!P19</f>
        <v>125322.86837588587</v>
      </c>
      <c r="O8" s="319">
        <f>'تحلیل نقطه سر به سر'!Q19</f>
        <v>124797.95969718744</v>
      </c>
      <c r="P8" s="319">
        <f>'تحلیل نقطه سر به سر'!R19</f>
        <v>124273.15252809058</v>
      </c>
      <c r="Q8" s="321">
        <f>'تحلیل نقطه سر به سر'!S19</f>
        <v>123748.43173081361</v>
      </c>
    </row>
    <row r="9" spans="2:17" ht="19.75" x14ac:dyDescent="0.65">
      <c r="B9" s="320" t="s">
        <v>83</v>
      </c>
      <c r="C9" s="319">
        <f>+C7-C8</f>
        <v>-42735.441371192479</v>
      </c>
      <c r="D9" s="319">
        <f>+D7-D8</f>
        <v>2253739.2738011684</v>
      </c>
      <c r="E9" s="319">
        <f>+E7-E8</f>
        <v>2441221.3857298377</v>
      </c>
      <c r="F9" s="319">
        <f t="shared" ref="F9:Q9" si="1">+F7-F8</f>
        <v>1221557.1957940371</v>
      </c>
      <c r="G9" s="319">
        <f t="shared" si="1"/>
        <v>1289585.9517422563</v>
      </c>
      <c r="H9" s="319">
        <f t="shared" si="1"/>
        <v>1360835.1600774832</v>
      </c>
      <c r="I9" s="319">
        <f t="shared" si="1"/>
        <v>1435447.1210962965</v>
      </c>
      <c r="J9" s="319">
        <f t="shared" si="1"/>
        <v>705223.99815468362</v>
      </c>
      <c r="K9" s="319">
        <f t="shared" si="1"/>
        <v>768167.3062231926</v>
      </c>
      <c r="L9" s="319">
        <f t="shared" si="1"/>
        <v>835690.36735501688</v>
      </c>
      <c r="M9" s="319">
        <f t="shared" si="1"/>
        <v>908118.55816331808</v>
      </c>
      <c r="N9" s="319">
        <f t="shared" si="1"/>
        <v>413938.6853606879</v>
      </c>
      <c r="O9" s="319">
        <f t="shared" si="1"/>
        <v>421375.60476842069</v>
      </c>
      <c r="P9" s="319">
        <f t="shared" si="1"/>
        <v>428832.72458686779</v>
      </c>
      <c r="Q9" s="321">
        <f t="shared" si="1"/>
        <v>436307.03239747451</v>
      </c>
    </row>
    <row r="10" spans="2:17" ht="19.75" x14ac:dyDescent="0.65">
      <c r="B10" s="320" t="s">
        <v>84</v>
      </c>
      <c r="C10" s="319">
        <f>'تحلیل نقطه سر به سر'!E33</f>
        <v>228488.37894527643</v>
      </c>
      <c r="D10" s="319">
        <f>'تحلیل نقطه سر به سر'!F33</f>
        <v>721760.25551651651</v>
      </c>
      <c r="E10" s="319">
        <f>'تحلیل نقطه سر به سر'!G33</f>
        <v>743818.60518779431</v>
      </c>
      <c r="F10" s="319">
        <f>'تحلیل نقطه سر به سر'!H33</f>
        <v>739317.93366152828</v>
      </c>
      <c r="G10" s="319">
        <f>'تحلیل نقطه سر به سر'!I33</f>
        <v>734817.26213526237</v>
      </c>
      <c r="H10" s="319">
        <f>'تحلیل نقطه سر به سر'!J33</f>
        <v>730316.59060899646</v>
      </c>
      <c r="I10" s="319">
        <f>'تحلیل نقطه سر به سر'!K33</f>
        <v>725815.91908273054</v>
      </c>
      <c r="J10" s="319">
        <f>'تحلیل نقطه سر به سر'!L33</f>
        <v>721315.24755646463</v>
      </c>
      <c r="K10" s="319">
        <f>'تحلیل نقطه سر به سر'!M33</f>
        <v>716814.57603019872</v>
      </c>
      <c r="L10" s="319">
        <f>'تحلیل نقطه سر به سر'!N33</f>
        <v>712313.90450393292</v>
      </c>
      <c r="M10" s="319">
        <f>'تحلیل نقطه سر به سر'!O33</f>
        <v>707813.23297766689</v>
      </c>
      <c r="N10" s="319">
        <f>'تحلیل نقطه سر به سر'!P33</f>
        <v>703312.5614514011</v>
      </c>
      <c r="O10" s="319">
        <f>'تحلیل نقطه سر به سر'!Q33</f>
        <v>698811.88992513507</v>
      </c>
      <c r="P10" s="319">
        <f>'تحلیل نقطه سر به سر'!R33</f>
        <v>694311.21839886927</v>
      </c>
      <c r="Q10" s="321">
        <f>'تحلیل نقطه سر به سر'!S33</f>
        <v>689810.54687260324</v>
      </c>
    </row>
    <row r="11" spans="2:17" ht="19.75" x14ac:dyDescent="0.65">
      <c r="B11" s="320" t="s">
        <v>85</v>
      </c>
      <c r="C11" s="319">
        <f>+C9-C10</f>
        <v>-271223.82031646889</v>
      </c>
      <c r="D11" s="319">
        <f>+D9-D10</f>
        <v>1531979.0182846519</v>
      </c>
      <c r="E11" s="319">
        <f>+E9-E10</f>
        <v>1697402.7805420435</v>
      </c>
      <c r="F11" s="319">
        <f t="shared" ref="F11:Q11" si="2">+F9-F10</f>
        <v>482239.2621325088</v>
      </c>
      <c r="G11" s="319">
        <f t="shared" si="2"/>
        <v>554768.68960699392</v>
      </c>
      <c r="H11" s="319">
        <f t="shared" si="2"/>
        <v>630518.5694684867</v>
      </c>
      <c r="I11" s="319">
        <f t="shared" si="2"/>
        <v>709631.20201356593</v>
      </c>
      <c r="J11" s="319">
        <f t="shared" si="2"/>
        <v>-16091.24940178101</v>
      </c>
      <c r="K11" s="319">
        <f t="shared" si="2"/>
        <v>51352.730192993884</v>
      </c>
      <c r="L11" s="319">
        <f t="shared" si="2"/>
        <v>123376.46285108395</v>
      </c>
      <c r="M11" s="319">
        <f t="shared" si="2"/>
        <v>200305.32518565119</v>
      </c>
      <c r="N11" s="319">
        <f t="shared" si="2"/>
        <v>-289373.87609071319</v>
      </c>
      <c r="O11" s="319">
        <f t="shared" si="2"/>
        <v>-277436.28515671438</v>
      </c>
      <c r="P11" s="319">
        <f t="shared" si="2"/>
        <v>-265478.49381200148</v>
      </c>
      <c r="Q11" s="321">
        <f t="shared" si="2"/>
        <v>-253503.51447512873</v>
      </c>
    </row>
    <row r="12" spans="2:17" ht="18.45" x14ac:dyDescent="0.65">
      <c r="B12" s="322" t="s">
        <v>86</v>
      </c>
      <c r="C12" s="319">
        <f>'هزینه‌های تولید'!$D$18</f>
        <v>0</v>
      </c>
      <c r="D12" s="319">
        <f>'هزینه‌های تولید'!$E$18</f>
        <v>0</v>
      </c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21"/>
    </row>
    <row r="13" spans="2:17" ht="19.75" x14ac:dyDescent="0.65">
      <c r="B13" s="320" t="s">
        <v>87</v>
      </c>
      <c r="C13" s="99">
        <f>+C11-C12</f>
        <v>-271223.82031646889</v>
      </c>
      <c r="D13" s="99">
        <f>+D11-D12</f>
        <v>1531979.0182846519</v>
      </c>
      <c r="E13" s="99">
        <f>+E11-E12</f>
        <v>1697402.7805420435</v>
      </c>
      <c r="F13" s="99">
        <f t="shared" ref="F13:Q13" si="3">+F11-F12</f>
        <v>482239.2621325088</v>
      </c>
      <c r="G13" s="99">
        <f t="shared" si="3"/>
        <v>554768.68960699392</v>
      </c>
      <c r="H13" s="99">
        <f t="shared" si="3"/>
        <v>630518.5694684867</v>
      </c>
      <c r="I13" s="99">
        <f t="shared" si="3"/>
        <v>709631.20201356593</v>
      </c>
      <c r="J13" s="99">
        <f t="shared" si="3"/>
        <v>-16091.24940178101</v>
      </c>
      <c r="K13" s="99">
        <f t="shared" si="3"/>
        <v>51352.730192993884</v>
      </c>
      <c r="L13" s="99">
        <f t="shared" si="3"/>
        <v>123376.46285108395</v>
      </c>
      <c r="M13" s="99">
        <f t="shared" si="3"/>
        <v>200305.32518565119</v>
      </c>
      <c r="N13" s="99">
        <f t="shared" si="3"/>
        <v>-289373.87609071319</v>
      </c>
      <c r="O13" s="99">
        <f t="shared" si="3"/>
        <v>-277436.28515671438</v>
      </c>
      <c r="P13" s="99">
        <f t="shared" si="3"/>
        <v>-265478.49381200148</v>
      </c>
      <c r="Q13" s="100">
        <f t="shared" si="3"/>
        <v>-253503.51447512873</v>
      </c>
    </row>
    <row r="14" spans="2:17" ht="18.45" x14ac:dyDescent="0.65">
      <c r="B14" s="322" t="s">
        <v>88</v>
      </c>
      <c r="C14" s="319">
        <v>0</v>
      </c>
      <c r="D14" s="319">
        <f>'داده هاي اقتصاد كلان'!$D$16*D13</f>
        <v>382994.75457116298</v>
      </c>
      <c r="E14" s="319">
        <f>'داده هاي اقتصاد كلان'!$D$16*E13</f>
        <v>424350.69513551088</v>
      </c>
      <c r="F14" s="319">
        <f>'داده هاي اقتصاد كلان'!$D$16*F13</f>
        <v>120559.8155331272</v>
      </c>
      <c r="G14" s="319">
        <f>'داده هاي اقتصاد كلان'!$D$16*G13</f>
        <v>138692.17240174848</v>
      </c>
      <c r="H14" s="319">
        <f>'داده هاي اقتصاد كلان'!$D$16*H13</f>
        <v>157629.64236712168</v>
      </c>
      <c r="I14" s="319">
        <f>'داده هاي اقتصاد كلان'!$D$16*I13</f>
        <v>177407.80050339148</v>
      </c>
      <c r="J14" s="319">
        <f>'داده هاي اقتصاد كلان'!$D$16*J13</f>
        <v>-4022.8123504452524</v>
      </c>
      <c r="K14" s="319">
        <f>'داده هاي اقتصاد كلان'!$D$16*K13</f>
        <v>12838.182548248471</v>
      </c>
      <c r="L14" s="319">
        <f>'داده هاي اقتصاد كلان'!$D$16*L13</f>
        <v>30844.115712770988</v>
      </c>
      <c r="M14" s="319">
        <f>'داده هاي اقتصاد كلان'!$D$16*M13</f>
        <v>50076.331296412798</v>
      </c>
      <c r="N14" s="319">
        <f>'داده هاي اقتصاد كلان'!$D$16*N13</f>
        <v>-72343.469022678299</v>
      </c>
      <c r="O14" s="319">
        <f>'داده هاي اقتصاد كلان'!$D$16*O13</f>
        <v>-69359.071289178595</v>
      </c>
      <c r="P14" s="319">
        <f>'داده هاي اقتصاد كلان'!$D$16*P13</f>
        <v>-66369.623453000371</v>
      </c>
      <c r="Q14" s="319">
        <f>'داده هاي اقتصاد كلان'!$D$16*Q13</f>
        <v>-63375.878618782182</v>
      </c>
    </row>
    <row r="15" spans="2:17" ht="19.75" x14ac:dyDescent="0.65">
      <c r="B15" s="324" t="s">
        <v>89</v>
      </c>
      <c r="C15" s="325">
        <f>+C13-C14</f>
        <v>-271223.82031646889</v>
      </c>
      <c r="D15" s="325">
        <f>+D13-D14</f>
        <v>1148984.2637134888</v>
      </c>
      <c r="E15" s="325">
        <f>+E13-E14</f>
        <v>1273052.0854065325</v>
      </c>
      <c r="F15" s="325">
        <f t="shared" ref="F15:Q15" si="4">+F13-F14</f>
        <v>361679.44659938163</v>
      </c>
      <c r="G15" s="325">
        <f t="shared" si="4"/>
        <v>416076.51720524544</v>
      </c>
      <c r="H15" s="325">
        <f t="shared" si="4"/>
        <v>472888.92710136506</v>
      </c>
      <c r="I15" s="325">
        <f t="shared" si="4"/>
        <v>532223.40151017439</v>
      </c>
      <c r="J15" s="325">
        <f t="shared" si="4"/>
        <v>-12068.437051335757</v>
      </c>
      <c r="K15" s="325">
        <f t="shared" si="4"/>
        <v>38514.547644745413</v>
      </c>
      <c r="L15" s="325">
        <f t="shared" si="4"/>
        <v>92532.347138312965</v>
      </c>
      <c r="M15" s="325">
        <f t="shared" si="4"/>
        <v>150228.99388923839</v>
      </c>
      <c r="N15" s="325">
        <f t="shared" si="4"/>
        <v>-217030.4070680349</v>
      </c>
      <c r="O15" s="325">
        <f t="shared" si="4"/>
        <v>-208077.21386753579</v>
      </c>
      <c r="P15" s="325">
        <f t="shared" si="4"/>
        <v>-199108.8703590011</v>
      </c>
      <c r="Q15" s="326">
        <f t="shared" si="4"/>
        <v>-190127.63585634655</v>
      </c>
    </row>
    <row r="16" spans="2:17" ht="19.75" x14ac:dyDescent="0.65">
      <c r="B16" s="320" t="s">
        <v>90</v>
      </c>
      <c r="C16" s="99">
        <v>0</v>
      </c>
      <c r="D16" s="99">
        <f>D15/D7</f>
        <v>0.48156072176060305</v>
      </c>
      <c r="E16" s="99">
        <f t="shared" ref="E16:Q16" si="5">E15/E7</f>
        <v>0.49308853056185464</v>
      </c>
      <c r="F16" s="99">
        <f t="shared" si="5"/>
        <v>0.26683610481073516</v>
      </c>
      <c r="G16" s="99">
        <f t="shared" si="5"/>
        <v>0.29234356121174021</v>
      </c>
      <c r="H16" s="99">
        <f t="shared" si="5"/>
        <v>0.31646396113421155</v>
      </c>
      <c r="I16" s="99">
        <f t="shared" si="5"/>
        <v>0.33927356962675048</v>
      </c>
      <c r="J16" s="99">
        <f t="shared" si="5"/>
        <v>-1.4466042868084715E-2</v>
      </c>
      <c r="K16" s="99">
        <f t="shared" si="5"/>
        <v>4.2939120984147386E-2</v>
      </c>
      <c r="L16" s="99">
        <f t="shared" si="5"/>
        <v>9.596231360566701E-2</v>
      </c>
      <c r="M16" s="99">
        <f t="shared" si="5"/>
        <v>0.1449405449477621</v>
      </c>
      <c r="N16" s="99">
        <f t="shared" si="5"/>
        <v>-0.40245852047901237</v>
      </c>
      <c r="O16" s="99">
        <f t="shared" si="5"/>
        <v>-0.38097269330697925</v>
      </c>
      <c r="P16" s="99">
        <f t="shared" si="5"/>
        <v>-0.35998328457033918</v>
      </c>
      <c r="Q16" s="100">
        <f t="shared" si="5"/>
        <v>-0.3394800123096296</v>
      </c>
    </row>
    <row r="17" spans="2:17" ht="19.75" x14ac:dyDescent="0.65">
      <c r="B17" s="324" t="s">
        <v>91</v>
      </c>
      <c r="C17" s="327">
        <f>C15</f>
        <v>-271223.82031646889</v>
      </c>
      <c r="D17" s="327">
        <f>D15</f>
        <v>1148984.2637134888</v>
      </c>
      <c r="E17" s="327">
        <f>E15</f>
        <v>1273052.0854065325</v>
      </c>
      <c r="F17" s="327">
        <f t="shared" ref="F17:Q17" si="6">F15</f>
        <v>361679.44659938163</v>
      </c>
      <c r="G17" s="327">
        <f t="shared" si="6"/>
        <v>416076.51720524544</v>
      </c>
      <c r="H17" s="327">
        <f t="shared" si="6"/>
        <v>472888.92710136506</v>
      </c>
      <c r="I17" s="327">
        <f t="shared" si="6"/>
        <v>532223.40151017439</v>
      </c>
      <c r="J17" s="327">
        <f t="shared" si="6"/>
        <v>-12068.437051335757</v>
      </c>
      <c r="K17" s="327">
        <f t="shared" si="6"/>
        <v>38514.547644745413</v>
      </c>
      <c r="L17" s="327">
        <f t="shared" si="6"/>
        <v>92532.347138312965</v>
      </c>
      <c r="M17" s="327">
        <f t="shared" si="6"/>
        <v>150228.99388923839</v>
      </c>
      <c r="N17" s="327">
        <f t="shared" si="6"/>
        <v>-217030.4070680349</v>
      </c>
      <c r="O17" s="327">
        <f t="shared" si="6"/>
        <v>-208077.21386753579</v>
      </c>
      <c r="P17" s="327">
        <f t="shared" si="6"/>
        <v>-199108.8703590011</v>
      </c>
      <c r="Q17" s="328">
        <f t="shared" si="6"/>
        <v>-190127.63585634655</v>
      </c>
    </row>
    <row r="18" spans="2:17" ht="20.149999999999999" thickBot="1" x14ac:dyDescent="0.7">
      <c r="B18" s="329" t="s">
        <v>92</v>
      </c>
      <c r="C18" s="330">
        <f>C17</f>
        <v>-271223.82031646889</v>
      </c>
      <c r="D18" s="330">
        <f>D17+C18</f>
        <v>877760.44339701999</v>
      </c>
      <c r="E18" s="330">
        <f>E17+D18</f>
        <v>2150812.5288035525</v>
      </c>
      <c r="F18" s="330">
        <f>+F17+E18</f>
        <v>2512491.975402934</v>
      </c>
      <c r="G18" s="330">
        <f t="shared" ref="G18:P18" si="7">+G17+F18</f>
        <v>2928568.4926081793</v>
      </c>
      <c r="H18" s="330">
        <f t="shared" si="7"/>
        <v>3401457.4197095446</v>
      </c>
      <c r="I18" s="330">
        <f t="shared" si="7"/>
        <v>3933680.821219719</v>
      </c>
      <c r="J18" s="330">
        <f>+J17+I18</f>
        <v>3921612.3841683832</v>
      </c>
      <c r="K18" s="330">
        <f t="shared" si="7"/>
        <v>3960126.9318131288</v>
      </c>
      <c r="L18" s="330">
        <f t="shared" si="7"/>
        <v>4052659.2789514419</v>
      </c>
      <c r="M18" s="330">
        <f t="shared" si="7"/>
        <v>4202888.2728406806</v>
      </c>
      <c r="N18" s="330">
        <f t="shared" si="7"/>
        <v>3985857.8657726455</v>
      </c>
      <c r="O18" s="330">
        <f t="shared" si="7"/>
        <v>3777780.6519051096</v>
      </c>
      <c r="P18" s="330">
        <f t="shared" si="7"/>
        <v>3578671.7815461084</v>
      </c>
      <c r="Q18" s="331">
        <f>+Q17+P18</f>
        <v>3388544.1456897617</v>
      </c>
    </row>
    <row r="21" spans="2:17" x14ac:dyDescent="0.65">
      <c r="F21" s="59"/>
    </row>
    <row r="22" spans="2:17" x14ac:dyDescent="0.65">
      <c r="F22" s="59"/>
    </row>
    <row r="23" spans="2:17" x14ac:dyDescent="0.65">
      <c r="F23" s="60"/>
    </row>
  </sheetData>
  <mergeCells count="4">
    <mergeCell ref="H5:Q5"/>
    <mergeCell ref="B5:B6"/>
    <mergeCell ref="D5:G5"/>
    <mergeCell ref="B3:C4"/>
  </mergeCells>
  <pageMargins left="0.7" right="0.7" top="0.75" bottom="0.75" header="0.3" footer="0.3"/>
  <ignoredErrors>
    <ignoredError sqref="C1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168C-8164-4888-AAB0-8673E780E5E6}">
  <sheetPr>
    <tabColor rgb="FF00FFFF"/>
  </sheetPr>
  <dimension ref="B1:E26"/>
  <sheetViews>
    <sheetView rightToLeft="1" tabSelected="1" zoomScaleNormal="100" zoomScaleSheetLayoutView="85" workbookViewId="0">
      <selection activeCell="D25" sqref="D25"/>
    </sheetView>
  </sheetViews>
  <sheetFormatPr defaultColWidth="10.23046875" defaultRowHeight="18.45" x14ac:dyDescent="0.75"/>
  <cols>
    <col min="1" max="1" width="3.53515625" style="23" customWidth="1"/>
    <col min="2" max="2" width="23.61328125" style="23" customWidth="1"/>
    <col min="3" max="3" width="30.53515625" style="23" bestFit="1" customWidth="1"/>
    <col min="4" max="4" width="22.765625" style="23" customWidth="1"/>
    <col min="5" max="5" width="16.53515625" style="23" customWidth="1"/>
    <col min="6" max="6" width="18" style="23" customWidth="1"/>
    <col min="7" max="7" width="21" style="23" customWidth="1"/>
    <col min="8" max="8" width="16.23046875" style="23" customWidth="1"/>
    <col min="9" max="9" width="12.53515625" style="23" bestFit="1" customWidth="1"/>
    <col min="10" max="16384" width="10.23046875" style="23"/>
  </cols>
  <sheetData>
    <row r="1" spans="2:5" ht="18.899999999999999" thickBot="1" x14ac:dyDescent="0.8"/>
    <row r="2" spans="2:5" ht="39.450000000000003" x14ac:dyDescent="1.7">
      <c r="B2" s="628" t="s">
        <v>5922</v>
      </c>
      <c r="C2" s="629"/>
      <c r="D2" s="629"/>
      <c r="E2" s="630"/>
    </row>
    <row r="3" spans="2:5" ht="19.75" x14ac:dyDescent="0.75">
      <c r="B3" s="271" t="s">
        <v>125</v>
      </c>
      <c r="C3" s="270"/>
      <c r="D3" s="270" t="s">
        <v>38</v>
      </c>
      <c r="E3" s="272" t="s">
        <v>126</v>
      </c>
    </row>
    <row r="4" spans="2:5" ht="21.9" x14ac:dyDescent="0.75">
      <c r="B4" s="626" t="s">
        <v>5943</v>
      </c>
      <c r="C4" s="547" t="s">
        <v>5819</v>
      </c>
      <c r="D4" s="547" t="s">
        <v>346</v>
      </c>
      <c r="E4" s="550">
        <f>'برآورد محصول'!$D$76*'انتخاب سناریو و وضعيت بازار'!$D$16</f>
        <v>0</v>
      </c>
    </row>
    <row r="5" spans="2:5" ht="21.9" x14ac:dyDescent="0.85">
      <c r="B5" s="627"/>
      <c r="C5" s="547" t="s">
        <v>5927</v>
      </c>
      <c r="D5" s="547" t="s">
        <v>378</v>
      </c>
      <c r="E5" s="551">
        <f>SUM(درآمدها!D16:R16)</f>
        <v>174.86812578625847</v>
      </c>
    </row>
    <row r="6" spans="2:5" ht="21.9" x14ac:dyDescent="0.85">
      <c r="B6" s="627"/>
      <c r="C6" s="547" t="s">
        <v>5824</v>
      </c>
      <c r="D6" s="547" t="s">
        <v>5928</v>
      </c>
      <c r="E6" s="551">
        <f>SUM('برآورد محصول'!$D$15+'برآورد محصول'!$D$20)</f>
        <v>0</v>
      </c>
    </row>
    <row r="7" spans="2:5" ht="22.5" customHeight="1" x14ac:dyDescent="0.85">
      <c r="B7" s="631" t="s">
        <v>449</v>
      </c>
      <c r="C7" s="632"/>
      <c r="D7" s="249" t="s">
        <v>93</v>
      </c>
      <c r="E7" s="552">
        <f>IRR(' جریان خالص نقدی'!C22:Q22)</f>
        <v>0.17459207268887567</v>
      </c>
    </row>
    <row r="8" spans="2:5" ht="25.75" x14ac:dyDescent="0.75">
      <c r="B8" s="631" t="s">
        <v>451</v>
      </c>
      <c r="C8" s="632"/>
      <c r="D8" s="249" t="s">
        <v>112</v>
      </c>
      <c r="E8" s="553">
        <f>IF(SUM(' جریان خالص نقدی'!D27:R27)&gt;0,SUM(' جریان خالص نقدی'!D27:R27),"خارج از دوره پروژه")</f>
        <v>4.7372894894031443</v>
      </c>
    </row>
    <row r="9" spans="2:5" ht="25.75" x14ac:dyDescent="0.75">
      <c r="B9" s="631" t="s">
        <v>450</v>
      </c>
      <c r="C9" s="632"/>
      <c r="D9" s="249" t="s">
        <v>428</v>
      </c>
      <c r="E9" s="553">
        <f>NPV('داده هاي اقتصاد كلان'!D18,' جریان خالص نقدی'!C22:Q22)/میلیون</f>
        <v>1.9089382536964878</v>
      </c>
    </row>
    <row r="10" spans="2:5" ht="25.75" x14ac:dyDescent="0.85">
      <c r="B10" s="633" t="s">
        <v>5876</v>
      </c>
      <c r="C10" s="634"/>
      <c r="D10" s="542" t="s">
        <v>428</v>
      </c>
      <c r="E10" s="554">
        <f>'سرمایه ثابت'!$F$5</f>
        <v>4.2833477805270466</v>
      </c>
    </row>
    <row r="11" spans="2:5" ht="19.75" x14ac:dyDescent="0.85">
      <c r="B11" s="635" t="s">
        <v>5941</v>
      </c>
      <c r="C11" s="543" t="str">
        <f>'سرمایه ثابت'!$D$31</f>
        <v>واحد فرآیندی- شيرين سازي و حذف سولفور</v>
      </c>
      <c r="D11" s="543" t="s">
        <v>428</v>
      </c>
      <c r="E11" s="554">
        <f>'سرمایه ثابت'!$G$31/میلیون</f>
        <v>1.0149999999999999</v>
      </c>
    </row>
    <row r="12" spans="2:5" ht="19.75" x14ac:dyDescent="0.85">
      <c r="B12" s="635"/>
      <c r="C12" s="544" t="str">
        <f>'سرمایه ثابت'!$D$37</f>
        <v>واحد فرآیندی- جداسازي گاز مايع و ميعانات</v>
      </c>
      <c r="D12" s="543" t="s">
        <v>428</v>
      </c>
      <c r="E12" s="554">
        <f>'سرمایه ثابت'!$G$37/میلیون</f>
        <v>0</v>
      </c>
    </row>
    <row r="13" spans="2:5" ht="19.75" x14ac:dyDescent="0.85">
      <c r="B13" s="635"/>
      <c r="C13" s="544" t="str">
        <f>'سرمایه ثابت'!$D$43</f>
        <v>واحد توليد برق</v>
      </c>
      <c r="D13" s="543" t="s">
        <v>428</v>
      </c>
      <c r="E13" s="554">
        <f>'سرمایه ثابت'!$G$43/میلیون</f>
        <v>1.5</v>
      </c>
    </row>
    <row r="14" spans="2:5" ht="19.75" x14ac:dyDescent="0.85">
      <c r="B14" s="635"/>
      <c r="C14" s="544" t="str">
        <f>'سرمایه ثابت'!$D$49</f>
        <v>واحد انتقال برق</v>
      </c>
      <c r="D14" s="543" t="s">
        <v>428</v>
      </c>
      <c r="E14" s="554">
        <f>'سرمایه ثابت'!$G$49/میلیون</f>
        <v>0</v>
      </c>
    </row>
    <row r="15" spans="2:5" ht="19.75" x14ac:dyDescent="0.85">
      <c r="B15" s="635"/>
      <c r="C15" s="544" t="str">
        <f>'سرمایه ثابت'!$D$52</f>
        <v>واحد استخراج رمزارز</v>
      </c>
      <c r="D15" s="543" t="s">
        <v>428</v>
      </c>
      <c r="E15" s="554">
        <f>'سرمایه ثابت'!$G$52/میلیون</f>
        <v>1.359</v>
      </c>
    </row>
    <row r="16" spans="2:5" ht="19.75" x14ac:dyDescent="0.85">
      <c r="B16" s="635"/>
      <c r="C16" s="545" t="str">
        <f>'سرمایه ثابت'!$D$58</f>
        <v>واحد خنك كننده</v>
      </c>
      <c r="D16" s="543" t="s">
        <v>428</v>
      </c>
      <c r="E16" s="554">
        <f>'سرمایه ثابت'!$G$59/میلیون</f>
        <v>0.10167044541822139</v>
      </c>
    </row>
    <row r="17" spans="2:5" ht="19.75" x14ac:dyDescent="0.85">
      <c r="B17" s="636" t="s">
        <v>5942</v>
      </c>
      <c r="C17" s="543" t="str">
        <f>'سرمایه ثابت'!$D$31</f>
        <v>واحد فرآیندی- شيرين سازي و حذف سولفور</v>
      </c>
      <c r="D17" s="546" t="s">
        <v>93</v>
      </c>
      <c r="E17" s="555">
        <f>SUM('برآوردهاي پايه'!$D$15:$D$19)</f>
        <v>0.75</v>
      </c>
    </row>
    <row r="18" spans="2:5" ht="19.75" x14ac:dyDescent="0.85">
      <c r="B18" s="637"/>
      <c r="C18" s="544" t="str">
        <f>'سرمایه ثابت'!$D$37</f>
        <v>واحد فرآیندی- جداسازي گاز مايع و ميعانات</v>
      </c>
      <c r="D18" s="546" t="s">
        <v>93</v>
      </c>
      <c r="E18" s="555">
        <f>SUM('برآوردهاي پايه'!$B$15:$E$20)</f>
        <v>0.75</v>
      </c>
    </row>
    <row r="19" spans="2:5" ht="19.75" x14ac:dyDescent="0.85">
      <c r="B19" s="637"/>
      <c r="C19" s="544" t="str">
        <f>'سرمایه ثابت'!$D$43</f>
        <v>واحد توليد برق</v>
      </c>
      <c r="D19" s="546" t="s">
        <v>93</v>
      </c>
      <c r="E19" s="555">
        <f>SUM('برآوردهاي پايه'!$D$41:$D$44)</f>
        <v>0.93</v>
      </c>
    </row>
    <row r="20" spans="2:5" ht="19.75" x14ac:dyDescent="0.85">
      <c r="B20" s="637"/>
      <c r="C20" s="544" t="str">
        <f>'سرمایه ثابت'!$D$49</f>
        <v>واحد انتقال برق</v>
      </c>
      <c r="D20" s="546" t="s">
        <v>93</v>
      </c>
      <c r="E20" s="555">
        <v>1</v>
      </c>
    </row>
    <row r="21" spans="2:5" ht="19.75" x14ac:dyDescent="0.85">
      <c r="B21" s="637"/>
      <c r="C21" s="544" t="str">
        <f>'سرمایه ثابت'!$D$52</f>
        <v>واحد استخراج رمزارز</v>
      </c>
      <c r="D21" s="546" t="s">
        <v>93</v>
      </c>
      <c r="E21" s="555">
        <f>SUM('برآوردهاي پايه'!$D$79:$D$81)</f>
        <v>0.96499999999999997</v>
      </c>
    </row>
    <row r="22" spans="2:5" ht="19.75" x14ac:dyDescent="0.85">
      <c r="B22" s="638"/>
      <c r="C22" s="545" t="str">
        <f>'سرمایه ثابت'!$D$58</f>
        <v>واحد خنك كننده</v>
      </c>
      <c r="D22" s="546" t="s">
        <v>93</v>
      </c>
      <c r="E22" s="555">
        <v>1</v>
      </c>
    </row>
    <row r="23" spans="2:5" ht="24.9" thickBot="1" x14ac:dyDescent="0.9">
      <c r="B23" s="624" t="s">
        <v>5944</v>
      </c>
      <c r="C23" s="625"/>
      <c r="D23" s="541" t="s">
        <v>428</v>
      </c>
      <c r="E23" s="556">
        <f>AVERAGE('هزینه‌های تولید'!D22:R22)/میلیون</f>
        <v>0.8087685532571175</v>
      </c>
    </row>
    <row r="26" spans="2:5" ht="19.75" x14ac:dyDescent="0.85">
      <c r="E26" s="473"/>
    </row>
  </sheetData>
  <mergeCells count="9">
    <mergeCell ref="B23:C23"/>
    <mergeCell ref="B4:B6"/>
    <mergeCell ref="B2:E2"/>
    <mergeCell ref="B7:C7"/>
    <mergeCell ref="B8:C8"/>
    <mergeCell ref="B9:C9"/>
    <mergeCell ref="B10:C10"/>
    <mergeCell ref="B11:B16"/>
    <mergeCell ref="B17:B22"/>
  </mergeCells>
  <printOptions horizontalCentered="1"/>
  <pageMargins left="0.15748031496062992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44B"/>
  </sheetPr>
  <dimension ref="A2:I314"/>
  <sheetViews>
    <sheetView rightToLeft="1" topLeftCell="B64" zoomScale="110" zoomScaleNormal="110" workbookViewId="0">
      <selection activeCell="D323" sqref="D323"/>
    </sheetView>
  </sheetViews>
  <sheetFormatPr defaultColWidth="9" defaultRowHeight="15.45" x14ac:dyDescent="0.65"/>
  <cols>
    <col min="1" max="1" width="9" style="25"/>
    <col min="2" max="2" width="2.15234375" style="25" customWidth="1"/>
    <col min="3" max="3" width="13.4609375" style="25" customWidth="1"/>
    <col min="4" max="4" width="55.3046875" style="25" customWidth="1"/>
    <col min="5" max="5" width="14.53515625" style="25" bestFit="1" customWidth="1"/>
    <col min="6" max="6" width="16.4609375" style="25" customWidth="1"/>
    <col min="7" max="7" width="24" style="25" customWidth="1"/>
    <col min="8" max="8" width="23.765625" style="25" customWidth="1"/>
    <col min="9" max="9" width="30.84375" style="25" bestFit="1" customWidth="1"/>
    <col min="10" max="10" width="13.07421875" style="25" bestFit="1" customWidth="1"/>
    <col min="11" max="11" width="11.84375" style="25" bestFit="1" customWidth="1"/>
    <col min="12" max="12" width="24.3046875" style="25" bestFit="1" customWidth="1"/>
    <col min="13" max="13" width="10.07421875" style="25" bestFit="1" customWidth="1"/>
    <col min="14" max="14" width="12.07421875" style="25" bestFit="1" customWidth="1"/>
    <col min="15" max="15" width="18.84375" style="25" bestFit="1" customWidth="1"/>
    <col min="16" max="16" width="13.07421875" style="25" bestFit="1" customWidth="1"/>
    <col min="17" max="17" width="9" style="25" customWidth="1"/>
    <col min="18" max="18" width="7.3046875" style="25" bestFit="1" customWidth="1"/>
    <col min="19" max="19" width="4.69140625" style="25" bestFit="1" customWidth="1"/>
    <col min="20" max="20" width="24.3046875" style="25" bestFit="1" customWidth="1"/>
    <col min="21" max="21" width="4.84375" style="25" bestFit="1" customWidth="1"/>
    <col min="22" max="22" width="12.07421875" style="25" bestFit="1" customWidth="1"/>
    <col min="23" max="23" width="18.84375" style="25" bestFit="1" customWidth="1"/>
    <col min="24" max="24" width="13.07421875" style="25" bestFit="1" customWidth="1"/>
    <col min="25" max="16384" width="9" style="25"/>
  </cols>
  <sheetData>
    <row r="2" spans="4:6" ht="15.9" thickBot="1" x14ac:dyDescent="0.7"/>
    <row r="3" spans="4:6" ht="19.75" x14ac:dyDescent="0.65">
      <c r="D3" s="649" t="s">
        <v>5876</v>
      </c>
      <c r="E3" s="650"/>
      <c r="F3" s="651"/>
    </row>
    <row r="4" spans="4:6" ht="19.75" x14ac:dyDescent="0.65">
      <c r="D4" s="500" t="s">
        <v>125</v>
      </c>
      <c r="E4" s="501" t="s">
        <v>38</v>
      </c>
      <c r="F4" s="560" t="s">
        <v>126</v>
      </c>
    </row>
    <row r="5" spans="4:6" ht="18.899999999999999" thickBot="1" x14ac:dyDescent="0.7">
      <c r="D5" s="233" t="s">
        <v>5825</v>
      </c>
      <c r="E5" s="375" t="s">
        <v>369</v>
      </c>
      <c r="F5" s="561">
        <f>SUM(G31,G37,G43,G49,G52,G58+G60,G64,G65,G68,G71,G72)/میلیون</f>
        <v>4.2833477805270466</v>
      </c>
    </row>
    <row r="7" spans="4:6" ht="15.9" thickBot="1" x14ac:dyDescent="0.7"/>
    <row r="8" spans="4:6" ht="19.75" x14ac:dyDescent="0.65">
      <c r="D8" s="652" t="s">
        <v>5849</v>
      </c>
      <c r="E8" s="653"/>
      <c r="F8" s="654"/>
    </row>
    <row r="9" spans="4:6" ht="19.75" x14ac:dyDescent="0.65">
      <c r="D9" s="271"/>
      <c r="E9" s="270"/>
      <c r="F9" s="272" t="s">
        <v>5848</v>
      </c>
    </row>
    <row r="10" spans="4:6" ht="19.75" x14ac:dyDescent="0.65">
      <c r="D10" s="271" t="s">
        <v>125</v>
      </c>
      <c r="E10" s="270" t="s">
        <v>38</v>
      </c>
      <c r="F10" s="562" t="s">
        <v>5819</v>
      </c>
    </row>
    <row r="11" spans="4:6" ht="18.45" x14ac:dyDescent="0.65">
      <c r="D11" s="223" t="s">
        <v>216</v>
      </c>
      <c r="E11" s="149" t="s">
        <v>369</v>
      </c>
      <c r="F11" s="563">
        <f>'برآوردهاي پايه'!$D$132*'داده‌های ورودی'!$D$21</f>
        <v>1.0149999999999999</v>
      </c>
    </row>
    <row r="12" spans="4:6" ht="18.45" x14ac:dyDescent="0.65">
      <c r="D12" s="223" t="s">
        <v>417</v>
      </c>
      <c r="E12" s="149" t="s">
        <v>369</v>
      </c>
      <c r="F12" s="564">
        <f>'برآورد محصول'!$D$38*'برآوردهاي پايه'!$D$133/هزار</f>
        <v>1.5</v>
      </c>
    </row>
    <row r="13" spans="4:6" ht="18.45" x14ac:dyDescent="0.65">
      <c r="D13" s="223" t="s">
        <v>5830</v>
      </c>
      <c r="E13" s="149" t="s">
        <v>428</v>
      </c>
      <c r="F13" s="563">
        <f>IF('انتخاب سناریو و وضعيت بازار'!D16=1,'برآوردهاي پايه'!D134,0)</f>
        <v>0</v>
      </c>
    </row>
    <row r="14" spans="4:6" ht="18.45" x14ac:dyDescent="0.65">
      <c r="D14" s="223" t="s">
        <v>418</v>
      </c>
      <c r="E14" s="149" t="s">
        <v>369</v>
      </c>
      <c r="F14" s="563">
        <f>IF('انتخاب سناریو و وضعيت بازار'!E16=1,'برآوردهاي پايه'!$D$135*هزار*'برآورد محصول'!$D$77/میلیون,0)</f>
        <v>1.359</v>
      </c>
    </row>
    <row r="15" spans="4:6" ht="18.45" x14ac:dyDescent="0.65">
      <c r="D15" s="223" t="s">
        <v>217</v>
      </c>
      <c r="E15" s="149" t="s">
        <v>369</v>
      </c>
      <c r="F15" s="564">
        <f>IF('انتخاب سناریو و وضعيت بازار'!F16=1,'داده‌های ورودی'!$D$21*'برآوردهاي پايه'!$D$136,0)</f>
        <v>0</v>
      </c>
    </row>
    <row r="16" spans="4:6" ht="18.45" x14ac:dyDescent="0.65">
      <c r="D16" s="223" t="s">
        <v>218</v>
      </c>
      <c r="E16" s="149" t="s">
        <v>0</v>
      </c>
      <c r="F16" s="152" t="s">
        <v>219</v>
      </c>
    </row>
    <row r="17" spans="3:7" ht="18.45" x14ac:dyDescent="0.65">
      <c r="D17" s="223" t="s">
        <v>396</v>
      </c>
      <c r="E17" s="149" t="s">
        <v>93</v>
      </c>
      <c r="F17" s="565">
        <v>0.9</v>
      </c>
    </row>
    <row r="18" spans="3:7" ht="18.45" x14ac:dyDescent="0.65">
      <c r="D18" s="223" t="s">
        <v>397</v>
      </c>
      <c r="E18" s="149" t="s">
        <v>93</v>
      </c>
      <c r="F18" s="565">
        <v>0.1</v>
      </c>
    </row>
    <row r="19" spans="3:7" ht="18.899999999999999" thickBot="1" x14ac:dyDescent="0.7">
      <c r="D19" s="227" t="s">
        <v>220</v>
      </c>
      <c r="E19" s="153" t="s">
        <v>0</v>
      </c>
      <c r="F19" s="566">
        <v>1</v>
      </c>
    </row>
    <row r="20" spans="3:7" ht="18.45" x14ac:dyDescent="0.65">
      <c r="D20" s="93"/>
      <c r="E20" s="93"/>
      <c r="F20" s="491"/>
    </row>
    <row r="21" spans="3:7" ht="18.45" x14ac:dyDescent="0.65">
      <c r="D21" s="93"/>
      <c r="E21" s="93"/>
      <c r="F21" s="491"/>
    </row>
    <row r="22" spans="3:7" ht="18.45" x14ac:dyDescent="0.65">
      <c r="D22" s="93"/>
      <c r="E22" s="93"/>
      <c r="F22" s="491"/>
    </row>
    <row r="23" spans="3:7" ht="18.45" x14ac:dyDescent="0.65">
      <c r="D23" s="93"/>
      <c r="E23" s="93"/>
      <c r="F23" s="491"/>
    </row>
    <row r="24" spans="3:7" ht="18.45" x14ac:dyDescent="0.65">
      <c r="D24" s="93"/>
      <c r="E24" s="93"/>
      <c r="F24" s="491"/>
    </row>
    <row r="25" spans="3:7" ht="18.45" x14ac:dyDescent="0.65">
      <c r="D25" s="93"/>
      <c r="E25" s="93"/>
      <c r="F25" s="491"/>
    </row>
    <row r="26" spans="3:7" ht="19.75" x14ac:dyDescent="0.65">
      <c r="D26" s="76"/>
      <c r="E26" s="76"/>
      <c r="F26" s="105"/>
      <c r="G26" s="106"/>
    </row>
    <row r="27" spans="3:7" ht="15.9" thickBot="1" x14ac:dyDescent="0.7"/>
    <row r="28" spans="3:7" ht="15.75" customHeight="1" x14ac:dyDescent="0.65">
      <c r="C28" s="672" t="s">
        <v>19</v>
      </c>
      <c r="D28" s="674" t="s">
        <v>20</v>
      </c>
      <c r="E28" s="668" t="s">
        <v>5877</v>
      </c>
      <c r="F28" s="668"/>
      <c r="G28" s="669"/>
    </row>
    <row r="29" spans="3:7" ht="15.75" customHeight="1" x14ac:dyDescent="0.65">
      <c r="C29" s="673"/>
      <c r="D29" s="675"/>
      <c r="E29" s="670"/>
      <c r="F29" s="670"/>
      <c r="G29" s="671"/>
    </row>
    <row r="30" spans="3:7" ht="42.75" customHeight="1" x14ac:dyDescent="0.65">
      <c r="C30" s="673"/>
      <c r="D30" s="675"/>
      <c r="E30" s="277" t="s">
        <v>23</v>
      </c>
      <c r="F30" s="194" t="s">
        <v>57</v>
      </c>
      <c r="G30" s="195" t="s">
        <v>58</v>
      </c>
    </row>
    <row r="31" spans="3:7" ht="27" customHeight="1" x14ac:dyDescent="0.65">
      <c r="C31" s="275" t="s">
        <v>48</v>
      </c>
      <c r="D31" s="273" t="s">
        <v>511</v>
      </c>
      <c r="E31" s="267">
        <f>SUM(E32:E36)</f>
        <v>0</v>
      </c>
      <c r="F31" s="267">
        <f>SUM(F32:F36)</f>
        <v>1015000</v>
      </c>
      <c r="G31" s="278">
        <f>SUM(G32:G36)</f>
        <v>1015000</v>
      </c>
    </row>
    <row r="32" spans="3:7" ht="18" customHeight="1" x14ac:dyDescent="0.65">
      <c r="C32" s="286" t="s">
        <v>55</v>
      </c>
      <c r="D32" s="287" t="s">
        <v>68</v>
      </c>
      <c r="E32" s="51">
        <v>0</v>
      </c>
      <c r="F32" s="51">
        <f>$H$81</f>
        <v>15224.999999999998</v>
      </c>
      <c r="G32" s="280">
        <f>(F32+E32/'داده هاي اقتصاد كلان'!$F$5)</f>
        <v>15224.999999999998</v>
      </c>
    </row>
    <row r="33" spans="3:9" ht="18" customHeight="1" x14ac:dyDescent="0.65">
      <c r="C33" s="286" t="s">
        <v>21</v>
      </c>
      <c r="D33" s="287" t="s">
        <v>153</v>
      </c>
      <c r="E33" s="51">
        <v>0</v>
      </c>
      <c r="F33" s="51">
        <f>$H$90</f>
        <v>761250</v>
      </c>
      <c r="G33" s="280">
        <f>(F33+E33/'داده هاي اقتصاد كلان'!$F$5)</f>
        <v>761250</v>
      </c>
    </row>
    <row r="34" spans="3:9" ht="18" customHeight="1" x14ac:dyDescent="0.65">
      <c r="C34" s="286" t="s">
        <v>206</v>
      </c>
      <c r="D34" s="287" t="s">
        <v>154</v>
      </c>
      <c r="E34" s="51">
        <v>0</v>
      </c>
      <c r="F34" s="51">
        <f>$H$103</f>
        <v>213149.99999999997</v>
      </c>
      <c r="G34" s="280">
        <f>(F34+E34/'داده هاي اقتصاد كلان'!$F$5)</f>
        <v>213149.99999999997</v>
      </c>
    </row>
    <row r="35" spans="3:9" ht="18" customHeight="1" x14ac:dyDescent="0.65">
      <c r="C35" s="286" t="s">
        <v>205</v>
      </c>
      <c r="D35" s="287" t="s">
        <v>155</v>
      </c>
      <c r="E35" s="51">
        <v>0</v>
      </c>
      <c r="F35" s="51">
        <f>$H$108</f>
        <v>10149.999999999998</v>
      </c>
      <c r="G35" s="280">
        <f>(F35+E35/'داده هاي اقتصاد كلان'!$F$5)</f>
        <v>10149.999999999998</v>
      </c>
    </row>
    <row r="36" spans="3:9" ht="18" customHeight="1" x14ac:dyDescent="0.65">
      <c r="C36" s="286" t="s">
        <v>204</v>
      </c>
      <c r="D36" s="287" t="s">
        <v>156</v>
      </c>
      <c r="E36" s="51">
        <v>0</v>
      </c>
      <c r="F36" s="51">
        <f>$H$113</f>
        <v>15224.999999999998</v>
      </c>
      <c r="G36" s="280">
        <f>F36+E36/'داده هاي اقتصاد كلان'!$F$5</f>
        <v>15224.999999999998</v>
      </c>
    </row>
    <row r="37" spans="3:9" ht="22.5" customHeight="1" x14ac:dyDescent="0.65">
      <c r="C37" s="275" t="s">
        <v>49</v>
      </c>
      <c r="D37" s="273" t="s">
        <v>200</v>
      </c>
      <c r="E37" s="267">
        <f>SUM(E38:E42)</f>
        <v>0</v>
      </c>
      <c r="F37" s="267">
        <f>SUM(F38:F42)</f>
        <v>0</v>
      </c>
      <c r="G37" s="278">
        <f>SUM(G38:G42)</f>
        <v>0</v>
      </c>
    </row>
    <row r="38" spans="3:9" ht="22.5" customHeight="1" x14ac:dyDescent="0.65">
      <c r="C38" s="286" t="s">
        <v>21</v>
      </c>
      <c r="D38" s="279" t="s">
        <v>68</v>
      </c>
      <c r="E38" s="51">
        <v>0</v>
      </c>
      <c r="F38" s="51">
        <f>$H$120</f>
        <v>0</v>
      </c>
      <c r="G38" s="280">
        <f>(F38+E38/'داده هاي اقتصاد كلان'!$F$5)</f>
        <v>0</v>
      </c>
      <c r="I38" s="540"/>
    </row>
    <row r="39" spans="3:9" ht="22.5" customHeight="1" x14ac:dyDescent="0.65">
      <c r="C39" s="286" t="s">
        <v>54</v>
      </c>
      <c r="D39" s="279" t="s">
        <v>153</v>
      </c>
      <c r="E39" s="51">
        <v>0</v>
      </c>
      <c r="F39" s="51">
        <f>$H$129</f>
        <v>0</v>
      </c>
      <c r="G39" s="280">
        <f>(F39+E39/'داده هاي اقتصاد كلان'!$F$5)</f>
        <v>0</v>
      </c>
    </row>
    <row r="40" spans="3:9" ht="21.9" x14ac:dyDescent="0.65">
      <c r="C40" s="286" t="s">
        <v>201</v>
      </c>
      <c r="D40" s="279" t="s">
        <v>154</v>
      </c>
      <c r="E40" s="51">
        <v>0</v>
      </c>
      <c r="F40" s="51">
        <f>$H$142</f>
        <v>0</v>
      </c>
      <c r="G40" s="280">
        <f>(F40+E40/'داده هاي اقتصاد كلان'!$F$5)</f>
        <v>0</v>
      </c>
    </row>
    <row r="41" spans="3:9" ht="21.9" x14ac:dyDescent="0.65">
      <c r="C41" s="286" t="s">
        <v>202</v>
      </c>
      <c r="D41" s="279" t="s">
        <v>155</v>
      </c>
      <c r="E41" s="51">
        <v>0</v>
      </c>
      <c r="F41" s="51">
        <f>$H$147</f>
        <v>0</v>
      </c>
      <c r="G41" s="280">
        <f>(F41+E41/'داده هاي اقتصاد كلان'!$F$5)</f>
        <v>0</v>
      </c>
    </row>
    <row r="42" spans="3:9" ht="21.9" x14ac:dyDescent="0.65">
      <c r="C42" s="286" t="s">
        <v>203</v>
      </c>
      <c r="D42" s="279" t="s">
        <v>156</v>
      </c>
      <c r="E42" s="51">
        <v>0</v>
      </c>
      <c r="F42" s="51">
        <f>$H$152</f>
        <v>0</v>
      </c>
      <c r="G42" s="280">
        <f>F42+E42/'داده هاي اقتصاد كلان'!$F$5</f>
        <v>0</v>
      </c>
    </row>
    <row r="43" spans="3:9" ht="23.15" x14ac:dyDescent="0.65">
      <c r="C43" s="275" t="s">
        <v>50</v>
      </c>
      <c r="D43" s="273" t="s">
        <v>417</v>
      </c>
      <c r="E43" s="267">
        <f>SUM(E44:E48)</f>
        <v>0</v>
      </c>
      <c r="F43" s="267">
        <f>SUM(F44:F48)</f>
        <v>1500000</v>
      </c>
      <c r="G43" s="278">
        <f>SUM(G44:G48)</f>
        <v>1500000</v>
      </c>
    </row>
    <row r="44" spans="3:9" ht="21.9" x14ac:dyDescent="0.65">
      <c r="C44" s="301" t="s">
        <v>206</v>
      </c>
      <c r="D44" s="279" t="s">
        <v>68</v>
      </c>
      <c r="E44" s="51">
        <v>0</v>
      </c>
      <c r="F44" s="51">
        <f>$H$157</f>
        <v>3000</v>
      </c>
      <c r="G44" s="280">
        <f>(F44+E44/'داده هاي اقتصاد كلان'!$F$5)</f>
        <v>3000</v>
      </c>
    </row>
    <row r="45" spans="3:9" ht="21.9" x14ac:dyDescent="0.65">
      <c r="C45" s="301" t="s">
        <v>207</v>
      </c>
      <c r="D45" s="279" t="s">
        <v>153</v>
      </c>
      <c r="E45" s="51">
        <v>0</v>
      </c>
      <c r="F45" s="51">
        <f>$H$165</f>
        <v>1395000</v>
      </c>
      <c r="G45" s="280">
        <f>(F45+E45/'داده هاي اقتصاد كلان'!$F$5)</f>
        <v>1395000</v>
      </c>
    </row>
    <row r="46" spans="3:9" ht="21.9" x14ac:dyDescent="0.65">
      <c r="C46" s="301" t="s">
        <v>208</v>
      </c>
      <c r="D46" s="279" t="s">
        <v>154</v>
      </c>
      <c r="E46" s="51">
        <v>0</v>
      </c>
      <c r="F46" s="51">
        <f>$H$177</f>
        <v>60000</v>
      </c>
      <c r="G46" s="280">
        <f>(F46+E46/'داده هاي اقتصاد كلان'!$F$5)</f>
        <v>60000</v>
      </c>
    </row>
    <row r="47" spans="3:9" ht="21.9" x14ac:dyDescent="0.65">
      <c r="C47" s="301" t="s">
        <v>209</v>
      </c>
      <c r="D47" s="279" t="s">
        <v>155</v>
      </c>
      <c r="E47" s="51">
        <v>0</v>
      </c>
      <c r="F47" s="51">
        <f>$H$184</f>
        <v>12000</v>
      </c>
      <c r="G47" s="280">
        <f>(F47+E47/'داده هاي اقتصاد كلان'!$F$5)</f>
        <v>12000</v>
      </c>
    </row>
    <row r="48" spans="3:9" ht="21.9" x14ac:dyDescent="0.65">
      <c r="C48" s="301" t="s">
        <v>210</v>
      </c>
      <c r="D48" s="279" t="s">
        <v>156</v>
      </c>
      <c r="E48" s="51">
        <v>0</v>
      </c>
      <c r="F48" s="51">
        <f>$H$192</f>
        <v>30000</v>
      </c>
      <c r="G48" s="280">
        <f>F48+E48/'داده هاي اقتصاد كلان'!$F$5</f>
        <v>30000</v>
      </c>
    </row>
    <row r="49" spans="3:7" ht="23.15" x14ac:dyDescent="0.65">
      <c r="C49" s="275" t="s">
        <v>22</v>
      </c>
      <c r="D49" s="273" t="s">
        <v>5830</v>
      </c>
      <c r="E49" s="267">
        <f>SUM(E50:E51)</f>
        <v>0</v>
      </c>
      <c r="F49" s="267">
        <f>SUM(F50:F51)</f>
        <v>0</v>
      </c>
      <c r="G49" s="278">
        <f>SUM(G50:G51)</f>
        <v>0</v>
      </c>
    </row>
    <row r="50" spans="3:7" ht="21.9" x14ac:dyDescent="0.65">
      <c r="C50" s="301" t="s">
        <v>205</v>
      </c>
      <c r="D50" s="279" t="s">
        <v>5831</v>
      </c>
      <c r="E50" s="51">
        <f>$G$197</f>
        <v>0</v>
      </c>
      <c r="F50" s="51">
        <v>0</v>
      </c>
      <c r="G50" s="280">
        <f>(F50+E50/'داده هاي اقتصاد كلان'!$F$5)</f>
        <v>0</v>
      </c>
    </row>
    <row r="51" spans="3:7" ht="21.9" x14ac:dyDescent="0.65">
      <c r="C51" s="301" t="s">
        <v>202</v>
      </c>
      <c r="D51" s="279" t="s">
        <v>5832</v>
      </c>
      <c r="E51" s="51">
        <f>$G$198</f>
        <v>0</v>
      </c>
      <c r="F51" s="51">
        <v>0</v>
      </c>
      <c r="G51" s="280">
        <f>(F51+E51/'داده هاي اقتصاد كلان'!$F$5)</f>
        <v>0</v>
      </c>
    </row>
    <row r="52" spans="3:7" ht="23.15" x14ac:dyDescent="0.65">
      <c r="C52" s="275" t="s">
        <v>5827</v>
      </c>
      <c r="D52" s="273" t="s">
        <v>418</v>
      </c>
      <c r="E52" s="267">
        <f>SUM(E53:E57)</f>
        <v>0</v>
      </c>
      <c r="F52" s="267">
        <f>SUM(F53:F57)</f>
        <v>1359000</v>
      </c>
      <c r="G52" s="278">
        <f>SUM(G53:G57)</f>
        <v>1359000</v>
      </c>
    </row>
    <row r="53" spans="3:7" ht="21.9" x14ac:dyDescent="0.65">
      <c r="C53" s="286" t="s">
        <v>204</v>
      </c>
      <c r="D53" s="279" t="s">
        <v>68</v>
      </c>
      <c r="E53" s="51">
        <v>0</v>
      </c>
      <c r="F53" s="51">
        <f>$H$206</f>
        <v>2718</v>
      </c>
      <c r="G53" s="280">
        <f>(F53+E53/'داده هاي اقتصاد كلان'!$F$5)</f>
        <v>2718</v>
      </c>
    </row>
    <row r="54" spans="3:7" ht="21.9" x14ac:dyDescent="0.65">
      <c r="C54" s="286" t="s">
        <v>211</v>
      </c>
      <c r="D54" s="279" t="s">
        <v>153</v>
      </c>
      <c r="E54" s="51">
        <v>0</v>
      </c>
      <c r="F54" s="51">
        <f>$H$213</f>
        <v>1311435</v>
      </c>
      <c r="G54" s="280">
        <f>(F54+E54/'داده هاي اقتصاد كلان'!$F$5)</f>
        <v>1311435</v>
      </c>
    </row>
    <row r="55" spans="3:7" ht="18.75" customHeight="1" x14ac:dyDescent="0.65">
      <c r="C55" s="286" t="s">
        <v>473</v>
      </c>
      <c r="D55" s="279" t="s">
        <v>154</v>
      </c>
      <c r="E55" s="51">
        <v>0</v>
      </c>
      <c r="F55" s="51">
        <f>$H$221</f>
        <v>38052</v>
      </c>
      <c r="G55" s="280">
        <f>(F55+E55/'داده هاي اقتصاد كلان'!$F$5)</f>
        <v>38052</v>
      </c>
    </row>
    <row r="56" spans="3:7" ht="19.5" customHeight="1" x14ac:dyDescent="0.65">
      <c r="C56" s="286" t="s">
        <v>5844</v>
      </c>
      <c r="D56" s="279" t="s">
        <v>155</v>
      </c>
      <c r="E56" s="51">
        <v>0</v>
      </c>
      <c r="F56" s="51">
        <f>$H$227</f>
        <v>4077</v>
      </c>
      <c r="G56" s="280">
        <f>(F56+E56/'داده هاي اقتصاد كلان'!$F$5)</f>
        <v>4077</v>
      </c>
    </row>
    <row r="57" spans="3:7" ht="21.9" x14ac:dyDescent="0.65">
      <c r="C57" s="286" t="s">
        <v>5845</v>
      </c>
      <c r="D57" s="279" t="s">
        <v>156</v>
      </c>
      <c r="E57" s="51">
        <v>0</v>
      </c>
      <c r="F57" s="51">
        <f>$H$233</f>
        <v>2718</v>
      </c>
      <c r="G57" s="280">
        <f>F57+E57/'داده هاي اقتصاد كلان'!$F$5</f>
        <v>2718</v>
      </c>
    </row>
    <row r="58" spans="3:7" ht="23.15" x14ac:dyDescent="0.65">
      <c r="C58" s="275" t="s">
        <v>5904</v>
      </c>
      <c r="D58" s="273" t="s">
        <v>5902</v>
      </c>
      <c r="E58" s="267">
        <f>SUM(E59:E63)</f>
        <v>153783.78378378379</v>
      </c>
      <c r="F58" s="267">
        <f>SUM(F59:F63)</f>
        <v>0</v>
      </c>
      <c r="G58" s="278">
        <f>SUM(G59:G63)</f>
        <v>104235.10530264498</v>
      </c>
    </row>
    <row r="59" spans="3:7" ht="21.9" x14ac:dyDescent="0.65">
      <c r="C59" s="286" t="s">
        <v>5846</v>
      </c>
      <c r="D59" s="279" t="s">
        <v>5903</v>
      </c>
      <c r="E59" s="51">
        <f>$G$238</f>
        <v>150000</v>
      </c>
      <c r="F59" s="51">
        <v>0</v>
      </c>
      <c r="G59" s="280">
        <f>(F59+E59/'داده هاي اقتصاد كلان'!$F$5)</f>
        <v>101670.44541822138</v>
      </c>
    </row>
    <row r="60" spans="3:7" ht="18.75" customHeight="1" x14ac:dyDescent="0.65">
      <c r="C60" s="276">
        <v>7</v>
      </c>
      <c r="D60" s="281" t="s">
        <v>59</v>
      </c>
      <c r="E60" s="267">
        <f>SUM(E61:E63)</f>
        <v>1891.8918918918916</v>
      </c>
      <c r="F60" s="267">
        <f>SUM(F61:F63)</f>
        <v>0</v>
      </c>
      <c r="G60" s="278">
        <f>(F60+E60/'داده هاي اقتصاد كلان'!$F$5)</f>
        <v>1282.3299422118009</v>
      </c>
    </row>
    <row r="61" spans="3:7" ht="21.9" x14ac:dyDescent="0.65">
      <c r="C61" s="286" t="s">
        <v>5905</v>
      </c>
      <c r="D61" s="279" t="s">
        <v>178</v>
      </c>
      <c r="E61" s="51">
        <v>0</v>
      </c>
      <c r="F61" s="51">
        <f>$H$245</f>
        <v>0</v>
      </c>
      <c r="G61" s="280">
        <f>F61+E61/'داده هاي اقتصاد كلان'!$F$5</f>
        <v>0</v>
      </c>
    </row>
    <row r="62" spans="3:7" ht="21.9" x14ac:dyDescent="0.65">
      <c r="C62" s="286" t="s">
        <v>5906</v>
      </c>
      <c r="D62" s="279" t="s">
        <v>60</v>
      </c>
      <c r="E62" s="51">
        <f>$G$257</f>
        <v>0</v>
      </c>
      <c r="F62" s="51">
        <v>0</v>
      </c>
      <c r="G62" s="280">
        <f>F62+E62/'داده هاي اقتصاد كلان'!$F$5</f>
        <v>0</v>
      </c>
    </row>
    <row r="63" spans="3:7" ht="21.9" x14ac:dyDescent="0.65">
      <c r="C63" s="286" t="s">
        <v>5907</v>
      </c>
      <c r="D63" s="279" t="s">
        <v>474</v>
      </c>
      <c r="E63" s="108">
        <f>$G$262*'داده‌های ورودی'!$D$23</f>
        <v>1891.8918918918916</v>
      </c>
      <c r="F63" s="274">
        <v>0</v>
      </c>
      <c r="G63" s="280">
        <f>F63+E63/'داده هاي اقتصاد كلان'!$F$5</f>
        <v>1282.3299422118009</v>
      </c>
    </row>
    <row r="64" spans="3:7" ht="18.75" customHeight="1" x14ac:dyDescent="0.65">
      <c r="C64" s="276">
        <v>8</v>
      </c>
      <c r="D64" s="281" t="s">
        <v>28</v>
      </c>
      <c r="E64" s="282">
        <f>$G$269</f>
        <v>60000</v>
      </c>
      <c r="F64" s="282">
        <v>0</v>
      </c>
      <c r="G64" s="283">
        <f>(F64+E64/'داده هاي اقتصاد كلان'!$F$5)</f>
        <v>40668.178167288548</v>
      </c>
    </row>
    <row r="65" spans="1:8" ht="19.75" x14ac:dyDescent="0.65">
      <c r="C65" s="276">
        <v>9</v>
      </c>
      <c r="D65" s="281" t="s">
        <v>47</v>
      </c>
      <c r="E65" s="282">
        <f>SUM(E66:E67)</f>
        <v>55973.701977545126</v>
      </c>
      <c r="F65" s="282">
        <f>SUM(F66:F67)</f>
        <v>0</v>
      </c>
      <c r="G65" s="282">
        <f>SUM(G66:G67)</f>
        <v>37939.14141175861</v>
      </c>
    </row>
    <row r="66" spans="1:8" ht="21.9" x14ac:dyDescent="0.65">
      <c r="C66" s="286" t="s">
        <v>5828</v>
      </c>
      <c r="D66" s="372" t="str">
        <f>$D$272</f>
        <v>اثاثیه و تجهیزات اداری- عمليات</v>
      </c>
      <c r="E66" s="373">
        <f>$H$281</f>
        <v>49818.51825492848</v>
      </c>
      <c r="F66" s="373">
        <v>0</v>
      </c>
      <c r="G66" s="280">
        <f>F66+E66/'داده هاي اقتصاد كلان'!$F$5</f>
        <v>33767.139607029145</v>
      </c>
    </row>
    <row r="67" spans="1:8" ht="21.9" x14ac:dyDescent="0.65">
      <c r="C67" s="286" t="s">
        <v>5829</v>
      </c>
      <c r="D67" s="372" t="str">
        <f>$D$284</f>
        <v>اثاثیه و تجهیزات اداری- ستاد</v>
      </c>
      <c r="E67" s="373">
        <f>$H$290</f>
        <v>6155.1837226166454</v>
      </c>
      <c r="F67" s="373">
        <v>0</v>
      </c>
      <c r="G67" s="280">
        <f>F67+E67/'داده هاي اقتصاد كلان'!$F$5</f>
        <v>4172.0018047294689</v>
      </c>
    </row>
    <row r="68" spans="1:8" ht="19.75" x14ac:dyDescent="0.65">
      <c r="C68" s="276">
        <v>10</v>
      </c>
      <c r="D68" s="281" t="s">
        <v>224</v>
      </c>
      <c r="E68" s="282">
        <f>SUM(E69:E70)</f>
        <v>19761.437169450837</v>
      </c>
      <c r="F68" s="282">
        <f>SUM(F69:F70)</f>
        <v>0</v>
      </c>
      <c r="G68" s="282">
        <f>SUM(G69:G70)</f>
        <v>13394.360794148415</v>
      </c>
    </row>
    <row r="69" spans="1:8" ht="21.9" x14ac:dyDescent="0.65">
      <c r="C69" s="286" t="s">
        <v>5908</v>
      </c>
      <c r="D69" s="372" t="str">
        <f>$D$293</f>
        <v>زيرساخت اداری- عمليات</v>
      </c>
      <c r="E69" s="373">
        <f>$H$297</f>
        <v>10167.044541822139</v>
      </c>
      <c r="F69" s="373">
        <v>0</v>
      </c>
      <c r="G69" s="280">
        <f>F69+E69/'داده هاي اقتصاد كلان'!$F$5</f>
        <v>6891.2529810263559</v>
      </c>
    </row>
    <row r="70" spans="1:8" ht="21.9" x14ac:dyDescent="0.65">
      <c r="C70" s="286" t="s">
        <v>5909</v>
      </c>
      <c r="D70" s="372" t="str">
        <f>$D$300</f>
        <v>زيرساخت اداری- ستاد</v>
      </c>
      <c r="E70" s="373">
        <f>$H$306</f>
        <v>9594.3926276286966</v>
      </c>
      <c r="F70" s="373">
        <v>0</v>
      </c>
      <c r="G70" s="280">
        <f>F70+E70/'داده هاي اقتصاد كلان'!$F$5</f>
        <v>6503.1078131220602</v>
      </c>
    </row>
    <row r="71" spans="1:8" ht="18.75" customHeight="1" x14ac:dyDescent="0.65">
      <c r="C71" s="276">
        <v>11</v>
      </c>
      <c r="D71" s="281" t="s">
        <v>18</v>
      </c>
      <c r="E71" s="282">
        <f>$G$312</f>
        <v>18918.918918918916</v>
      </c>
      <c r="F71" s="282">
        <v>0</v>
      </c>
      <c r="G71" s="283">
        <f>(F71+E71/'داده هاي اقتصاد كلان'!$F$5)</f>
        <v>12823.299422118011</v>
      </c>
    </row>
    <row r="72" spans="1:8" ht="19.75" x14ac:dyDescent="0.65">
      <c r="C72" s="276">
        <v>12</v>
      </c>
      <c r="D72" s="392" t="s">
        <v>458</v>
      </c>
      <c r="E72" s="282">
        <f>0.05*(E31+E37+E43+E49+E52+E60+E64+E65+E68+E71)</f>
        <v>7827.2974978903385</v>
      </c>
      <c r="F72" s="282">
        <f>0.05*(F31+F37+F43+F49+F52+F60+F64+F65+F68+F71)</f>
        <v>193700</v>
      </c>
      <c r="G72" s="283">
        <f>0.05*(G31+G37+G43+G49+G52+G60+G64+G65+G68+G71)</f>
        <v>199005.36548687628</v>
      </c>
    </row>
    <row r="73" spans="1:8" ht="29.25" customHeight="1" thickBot="1" x14ac:dyDescent="0.7">
      <c r="C73" s="676" t="s">
        <v>212</v>
      </c>
      <c r="D73" s="677"/>
      <c r="E73" s="284">
        <f>(E31+E37+E43+E52+E58+E60+E64+E65+E68+E71+E72)</f>
        <v>318157.03123948094</v>
      </c>
      <c r="F73" s="284">
        <f>(F31+F37+F43+F52+F58+F60+F64+F65+F68+F71+F72)</f>
        <v>4067700</v>
      </c>
      <c r="G73" s="285">
        <f>(G31+G37+G43+G49+G52+G58+G60+G64+G65+G68+G71+G72)</f>
        <v>4283347.7805270469</v>
      </c>
    </row>
    <row r="74" spans="1:8" ht="19.75" x14ac:dyDescent="0.85">
      <c r="C74" s="81"/>
      <c r="D74" s="81"/>
      <c r="E74" s="96"/>
      <c r="F74" s="82"/>
      <c r="G74" s="82"/>
    </row>
    <row r="75" spans="1:8" ht="20.149999999999999" hidden="1" thickBot="1" x14ac:dyDescent="0.9">
      <c r="C75" s="81"/>
      <c r="D75" s="81"/>
      <c r="E75" s="96"/>
      <c r="F75" s="82"/>
      <c r="G75" s="82"/>
    </row>
    <row r="76" spans="1:8" ht="19.75" hidden="1" x14ac:dyDescent="0.65">
      <c r="A76" s="655" t="s">
        <v>190</v>
      </c>
      <c r="B76" s="548"/>
      <c r="C76" s="678" t="s">
        <v>55</v>
      </c>
      <c r="D76" s="641" t="s">
        <v>68</v>
      </c>
      <c r="E76" s="641" t="s">
        <v>1</v>
      </c>
      <c r="F76" s="158" t="s">
        <v>77</v>
      </c>
      <c r="G76" s="641" t="s">
        <v>121</v>
      </c>
      <c r="H76" s="660" t="s">
        <v>114</v>
      </c>
    </row>
    <row r="77" spans="1:8" ht="19.75" hidden="1" x14ac:dyDescent="0.65">
      <c r="A77" s="656"/>
      <c r="B77" s="549"/>
      <c r="C77" s="679"/>
      <c r="D77" s="642"/>
      <c r="E77" s="642"/>
      <c r="F77" s="161" t="s">
        <v>62</v>
      </c>
      <c r="G77" s="642"/>
      <c r="H77" s="661"/>
    </row>
    <row r="78" spans="1:8" ht="19.75" hidden="1" x14ac:dyDescent="0.65">
      <c r="A78" s="656"/>
      <c r="B78" s="549"/>
      <c r="C78" s="112">
        <v>1</v>
      </c>
      <c r="D78" s="297" t="s">
        <v>157</v>
      </c>
      <c r="E78" s="108">
        <v>1</v>
      </c>
      <c r="F78" s="108">
        <f>G78*1000/E78</f>
        <v>20216051.887499999</v>
      </c>
      <c r="G78" s="108">
        <f>H78*ریال/میلیون</f>
        <v>20216.051887499998</v>
      </c>
      <c r="H78" s="109">
        <f>('برآوردهاي پايه'!$D11)*('سرمایه ثابت'!$F$11*میلیون)*$E78</f>
        <v>13702.499999999998</v>
      </c>
    </row>
    <row r="79" spans="1:8" ht="19.75" hidden="1" x14ac:dyDescent="0.65">
      <c r="A79" s="656"/>
      <c r="B79" s="549"/>
      <c r="C79" s="112">
        <v>2</v>
      </c>
      <c r="D79" s="297" t="s">
        <v>158</v>
      </c>
      <c r="E79" s="108">
        <v>1</v>
      </c>
      <c r="F79" s="108">
        <f t="shared" ref="F79:F80" si="0">G79*1000/E79</f>
        <v>1197988.26</v>
      </c>
      <c r="G79" s="108">
        <f>H79*ریال/میلیون</f>
        <v>1197.9882600000001</v>
      </c>
      <c r="H79" s="109">
        <f>('برآوردهاي پايه'!$D12)*('سرمایه ثابت'!$F$11*میلیون)*$E79</f>
        <v>812</v>
      </c>
    </row>
    <row r="80" spans="1:8" ht="19.75" hidden="1" x14ac:dyDescent="0.65">
      <c r="A80" s="656"/>
      <c r="B80" s="549"/>
      <c r="C80" s="112">
        <v>3</v>
      </c>
      <c r="D80" s="298" t="s">
        <v>159</v>
      </c>
      <c r="E80" s="108">
        <v>1</v>
      </c>
      <c r="F80" s="108">
        <f t="shared" si="0"/>
        <v>1048239.7274999998</v>
      </c>
      <c r="G80" s="108">
        <f>H80*ریال/میلیون</f>
        <v>1048.2397274999998</v>
      </c>
      <c r="H80" s="109">
        <f>('برآوردهاي پايه'!$D13)*('سرمایه ثابت'!$F$11*میلیون)*$E80</f>
        <v>710.49999999999989</v>
      </c>
    </row>
    <row r="81" spans="1:8" ht="20.149999999999999" hidden="1" thickBot="1" x14ac:dyDescent="0.7">
      <c r="A81" s="656"/>
      <c r="B81" s="549"/>
      <c r="C81" s="645" t="s">
        <v>17</v>
      </c>
      <c r="D81" s="646"/>
      <c r="E81" s="646"/>
      <c r="F81" s="646"/>
      <c r="G81" s="173">
        <f>SUM(G78:G80)</f>
        <v>22462.279874999997</v>
      </c>
      <c r="H81" s="174">
        <f>SUM(H78:H80)</f>
        <v>15224.999999999998</v>
      </c>
    </row>
    <row r="82" spans="1:8" ht="20.149999999999999" hidden="1" thickBot="1" x14ac:dyDescent="0.7">
      <c r="A82" s="656"/>
      <c r="B82" s="549"/>
    </row>
    <row r="83" spans="1:8" ht="19.75" hidden="1" x14ac:dyDescent="0.65">
      <c r="A83" s="656"/>
      <c r="B83" s="549"/>
      <c r="C83" s="639" t="s">
        <v>53</v>
      </c>
      <c r="D83" s="641" t="s">
        <v>177</v>
      </c>
      <c r="E83" s="641" t="s">
        <v>1</v>
      </c>
      <c r="F83" s="158" t="s">
        <v>77</v>
      </c>
      <c r="G83" s="641" t="s">
        <v>121</v>
      </c>
      <c r="H83" s="660" t="s">
        <v>114</v>
      </c>
    </row>
    <row r="84" spans="1:8" ht="19.75" hidden="1" x14ac:dyDescent="0.65">
      <c r="A84" s="656"/>
      <c r="B84" s="549"/>
      <c r="C84" s="640"/>
      <c r="D84" s="642"/>
      <c r="E84" s="642"/>
      <c r="F84" s="161" t="s">
        <v>62</v>
      </c>
      <c r="G84" s="642"/>
      <c r="H84" s="661"/>
    </row>
    <row r="85" spans="1:8" ht="19.75" hidden="1" x14ac:dyDescent="0.65">
      <c r="A85" s="656"/>
      <c r="B85" s="549"/>
      <c r="C85" s="112">
        <v>1</v>
      </c>
      <c r="D85" s="297" t="s">
        <v>164</v>
      </c>
      <c r="E85" s="108">
        <v>1</v>
      </c>
      <c r="F85" s="108">
        <f>G85*1000/E85</f>
        <v>5615569.9687499991</v>
      </c>
      <c r="G85" s="108">
        <f>H85*ریال/میلیون</f>
        <v>5615.5699687499991</v>
      </c>
      <c r="H85" s="109">
        <f>('برآوردهاي پايه'!$D15)*('سرمایه ثابت'!$F$11*میلیون)*$E85</f>
        <v>3806.2499999999995</v>
      </c>
    </row>
    <row r="86" spans="1:8" ht="19.75" hidden="1" x14ac:dyDescent="0.65">
      <c r="A86" s="656"/>
      <c r="B86" s="549"/>
      <c r="C86" s="112">
        <v>2</v>
      </c>
      <c r="D86" s="297" t="s">
        <v>165</v>
      </c>
      <c r="E86" s="108">
        <v>1</v>
      </c>
      <c r="F86" s="108">
        <f t="shared" ref="F86:F89" si="1">G86*1000/E86</f>
        <v>505401297.1875</v>
      </c>
      <c r="G86" s="108">
        <f>H86*ریال/میلیون</f>
        <v>505401.29718749999</v>
      </c>
      <c r="H86" s="109">
        <f>('برآوردهاي پايه'!$D16)*('سرمایه ثابت'!$F$11*میلیون)*$E86</f>
        <v>342562.5</v>
      </c>
    </row>
    <row r="87" spans="1:8" ht="19.75" hidden="1" x14ac:dyDescent="0.65">
      <c r="A87" s="656"/>
      <c r="B87" s="549"/>
      <c r="C87" s="112">
        <v>3</v>
      </c>
      <c r="D87" s="297" t="s">
        <v>169</v>
      </c>
      <c r="E87" s="108">
        <v>1</v>
      </c>
      <c r="F87" s="108">
        <f t="shared" si="1"/>
        <v>280778498.43749994</v>
      </c>
      <c r="G87" s="108">
        <f>H87*ریال/میلیون</f>
        <v>280778.49843749992</v>
      </c>
      <c r="H87" s="109">
        <f>('برآوردهاي پايه'!$D17)*('سرمایه ثابت'!$F$11*میلیون)*$E87</f>
        <v>190312.49999999997</v>
      </c>
    </row>
    <row r="88" spans="1:8" ht="19.75" hidden="1" x14ac:dyDescent="0.65">
      <c r="A88" s="656"/>
      <c r="B88" s="549"/>
      <c r="C88" s="112">
        <v>4</v>
      </c>
      <c r="D88" s="297" t="s">
        <v>167</v>
      </c>
      <c r="E88" s="108">
        <v>1</v>
      </c>
      <c r="F88" s="108">
        <f t="shared" si="1"/>
        <v>117926969.34374999</v>
      </c>
      <c r="G88" s="108">
        <f>H88*ریال/میلیون</f>
        <v>117926.96934374998</v>
      </c>
      <c r="H88" s="109">
        <f>('برآوردهاي پايه'!$D18)*('سرمایه ثابت'!$F$11*میلیون)*$E88</f>
        <v>79931.249999999985</v>
      </c>
    </row>
    <row r="89" spans="1:8" ht="19.75" hidden="1" x14ac:dyDescent="0.65">
      <c r="A89" s="656"/>
      <c r="B89" s="549"/>
      <c r="C89" s="112">
        <v>5</v>
      </c>
      <c r="D89" s="297" t="s">
        <v>168</v>
      </c>
      <c r="E89" s="108">
        <v>1</v>
      </c>
      <c r="F89" s="108">
        <f t="shared" si="1"/>
        <v>213391658.81249997</v>
      </c>
      <c r="G89" s="108">
        <f>H89*ریال/میلیون</f>
        <v>213391.65881249998</v>
      </c>
      <c r="H89" s="109">
        <f>('برآوردهاي پايه'!$D19)*('سرمایه ثابت'!$F$11*میلیون)*$E89</f>
        <v>144637.49999999997</v>
      </c>
    </row>
    <row r="90" spans="1:8" ht="20.149999999999999" hidden="1" thickBot="1" x14ac:dyDescent="0.7">
      <c r="A90" s="656"/>
      <c r="B90" s="549"/>
      <c r="C90" s="645" t="s">
        <v>17</v>
      </c>
      <c r="D90" s="646"/>
      <c r="E90" s="646"/>
      <c r="F90" s="646"/>
      <c r="G90" s="173">
        <f>SUM(G85:G89)</f>
        <v>1123113.9937499999</v>
      </c>
      <c r="H90" s="174">
        <f>SUM(H85:H89)</f>
        <v>761250</v>
      </c>
    </row>
    <row r="91" spans="1:8" ht="17.25" hidden="1" customHeight="1" thickBot="1" x14ac:dyDescent="0.7">
      <c r="A91" s="656"/>
      <c r="B91" s="549"/>
    </row>
    <row r="92" spans="1:8" ht="19.75" hidden="1" x14ac:dyDescent="0.65">
      <c r="A92" s="656"/>
      <c r="B92" s="549"/>
      <c r="C92" s="639" t="s">
        <v>122</v>
      </c>
      <c r="D92" s="641" t="s">
        <v>154</v>
      </c>
      <c r="E92" s="641" t="s">
        <v>1</v>
      </c>
      <c r="F92" s="158" t="s">
        <v>77</v>
      </c>
      <c r="G92" s="641" t="s">
        <v>121</v>
      </c>
      <c r="H92" s="660" t="s">
        <v>114</v>
      </c>
    </row>
    <row r="93" spans="1:8" ht="19.75" hidden="1" x14ac:dyDescent="0.65">
      <c r="A93" s="656"/>
      <c r="B93" s="549"/>
      <c r="C93" s="640"/>
      <c r="D93" s="642"/>
      <c r="E93" s="642"/>
      <c r="F93" s="161" t="s">
        <v>62</v>
      </c>
      <c r="G93" s="642"/>
      <c r="H93" s="661"/>
    </row>
    <row r="94" spans="1:8" ht="19.75" hidden="1" x14ac:dyDescent="0.65">
      <c r="A94" s="656"/>
      <c r="B94" s="549"/>
      <c r="C94" s="112">
        <v>1</v>
      </c>
      <c r="D94" s="297" t="s">
        <v>170</v>
      </c>
      <c r="E94" s="108">
        <v>1</v>
      </c>
      <c r="F94" s="108">
        <f>G94*1000/E94</f>
        <v>7487426.6249999991</v>
      </c>
      <c r="G94" s="108">
        <f t="shared" ref="G94:G102" si="2">H94*ریال/میلیون</f>
        <v>7487.4266249999991</v>
      </c>
      <c r="H94" s="109">
        <f>('برآوردهاي پايه'!$D21)*('سرمایه ثابت'!$F$11*میلیون)*$E94</f>
        <v>5074.9999999999991</v>
      </c>
    </row>
    <row r="95" spans="1:8" ht="19.75" hidden="1" x14ac:dyDescent="0.65">
      <c r="A95" s="656"/>
      <c r="B95" s="549"/>
      <c r="C95" s="112">
        <v>2</v>
      </c>
      <c r="D95" s="297" t="s">
        <v>171</v>
      </c>
      <c r="E95" s="108">
        <v>1</v>
      </c>
      <c r="F95" s="108">
        <f t="shared" ref="F95:F102" si="3">G95*1000/E95</f>
        <v>44924559.749999993</v>
      </c>
      <c r="G95" s="108">
        <f t="shared" si="2"/>
        <v>44924.559749999993</v>
      </c>
      <c r="H95" s="109">
        <f>('برآوردهاي پايه'!$D22)*('سرمایه ثابت'!$F$11*میلیون)*$E95</f>
        <v>30449.999999999996</v>
      </c>
    </row>
    <row r="96" spans="1:8" ht="19.75" hidden="1" x14ac:dyDescent="0.65">
      <c r="A96" s="656"/>
      <c r="B96" s="549"/>
      <c r="C96" s="112">
        <v>3</v>
      </c>
      <c r="D96" s="297" t="s">
        <v>172</v>
      </c>
      <c r="E96" s="108">
        <v>1</v>
      </c>
      <c r="F96" s="108">
        <f t="shared" si="3"/>
        <v>33693419.8125</v>
      </c>
      <c r="G96" s="108">
        <f t="shared" si="2"/>
        <v>33693.419812499997</v>
      </c>
      <c r="H96" s="109">
        <f>('برآوردهاي پايه'!$D23)*('سرمایه ثابت'!$F$11*میلیون)*$E96</f>
        <v>22837.499999999996</v>
      </c>
    </row>
    <row r="97" spans="1:8" ht="19.75" hidden="1" x14ac:dyDescent="0.65">
      <c r="A97" s="656"/>
      <c r="B97" s="549"/>
      <c r="C97" s="112">
        <v>4</v>
      </c>
      <c r="D97" s="297" t="s">
        <v>173</v>
      </c>
      <c r="E97" s="108">
        <v>1</v>
      </c>
      <c r="F97" s="108">
        <f t="shared" si="3"/>
        <v>1946730.9224999996</v>
      </c>
      <c r="G97" s="108">
        <f t="shared" si="2"/>
        <v>1946.7309224999997</v>
      </c>
      <c r="H97" s="109">
        <f>('برآوردهاي پايه'!$D24)*('سرمایه ثابت'!$F$11*میلیون)*$E97</f>
        <v>1319.4999999999998</v>
      </c>
    </row>
    <row r="98" spans="1:8" ht="19.75" hidden="1" x14ac:dyDescent="0.65">
      <c r="A98" s="656"/>
      <c r="B98" s="549"/>
      <c r="C98" s="112">
        <v>5</v>
      </c>
      <c r="D98" s="297" t="s">
        <v>174</v>
      </c>
      <c r="E98" s="108">
        <v>1</v>
      </c>
      <c r="F98" s="108">
        <f t="shared" si="3"/>
        <v>56155699.687499993</v>
      </c>
      <c r="G98" s="108">
        <f t="shared" si="2"/>
        <v>56155.69968749999</v>
      </c>
      <c r="H98" s="109">
        <f>('برآوردهاي پايه'!$D25)*('سرمایه ثابت'!$F$11*میلیون)*$E98</f>
        <v>38062.499999999993</v>
      </c>
    </row>
    <row r="99" spans="1:8" ht="19.75" hidden="1" x14ac:dyDescent="0.65">
      <c r="A99" s="656"/>
      <c r="B99" s="549"/>
      <c r="C99" s="112">
        <v>6</v>
      </c>
      <c r="D99" s="297" t="s">
        <v>165</v>
      </c>
      <c r="E99" s="108">
        <v>1</v>
      </c>
      <c r="F99" s="108">
        <f t="shared" si="3"/>
        <v>67386839.625</v>
      </c>
      <c r="G99" s="108">
        <f t="shared" si="2"/>
        <v>67386.839624999993</v>
      </c>
      <c r="H99" s="109">
        <f>('برآوردهاي پايه'!$D26)*('سرمایه ثابت'!$F$11*میلیون)*$E99</f>
        <v>45674.999999999993</v>
      </c>
    </row>
    <row r="100" spans="1:8" ht="19.75" hidden="1" x14ac:dyDescent="0.65">
      <c r="A100" s="656"/>
      <c r="B100" s="549"/>
      <c r="C100" s="112">
        <v>7</v>
      </c>
      <c r="D100" s="297" t="s">
        <v>175</v>
      </c>
      <c r="E100" s="108">
        <v>1</v>
      </c>
      <c r="F100" s="108">
        <f t="shared" si="3"/>
        <v>1796982.3899999997</v>
      </c>
      <c r="G100" s="108">
        <f t="shared" si="2"/>
        <v>1796.9823899999997</v>
      </c>
      <c r="H100" s="109">
        <f>('برآوردهاي پايه'!$D27)*('سرمایه ثابت'!$F$11*میلیون)*$E100</f>
        <v>1217.9999999999998</v>
      </c>
    </row>
    <row r="101" spans="1:8" ht="19.75" hidden="1" x14ac:dyDescent="0.65">
      <c r="A101" s="656"/>
      <c r="B101" s="549"/>
      <c r="C101" s="112">
        <v>8</v>
      </c>
      <c r="D101" s="297" t="s">
        <v>167</v>
      </c>
      <c r="E101" s="108">
        <v>1</v>
      </c>
      <c r="F101" s="108">
        <f t="shared" si="3"/>
        <v>44924559.749999993</v>
      </c>
      <c r="G101" s="108">
        <f t="shared" si="2"/>
        <v>44924.559749999993</v>
      </c>
      <c r="H101" s="109">
        <f>('برآوردهاي پايه'!$D28)*('سرمایه ثابت'!$F$11*میلیون)*$E101</f>
        <v>30449.999999999996</v>
      </c>
    </row>
    <row r="102" spans="1:8" ht="19.75" hidden="1" x14ac:dyDescent="0.65">
      <c r="A102" s="656"/>
      <c r="B102" s="549"/>
      <c r="C102" s="112">
        <v>9</v>
      </c>
      <c r="D102" s="297" t="s">
        <v>176</v>
      </c>
      <c r="E102" s="108">
        <v>1</v>
      </c>
      <c r="F102" s="108">
        <f t="shared" si="3"/>
        <v>56155699.687499993</v>
      </c>
      <c r="G102" s="108">
        <f t="shared" si="2"/>
        <v>56155.69968749999</v>
      </c>
      <c r="H102" s="109">
        <f>('برآوردهاي پايه'!$D29)*('سرمایه ثابت'!$F$11*میلیون)*$E102</f>
        <v>38062.499999999993</v>
      </c>
    </row>
    <row r="103" spans="1:8" ht="20.149999999999999" hidden="1" thickBot="1" x14ac:dyDescent="0.7">
      <c r="A103" s="656"/>
      <c r="B103" s="549"/>
      <c r="C103" s="645" t="s">
        <v>17</v>
      </c>
      <c r="D103" s="646"/>
      <c r="E103" s="646"/>
      <c r="F103" s="646"/>
      <c r="G103" s="173">
        <f>SUM(G94:G102)</f>
        <v>314471.91824999993</v>
      </c>
      <c r="H103" s="174">
        <f>SUM(H94:H102)</f>
        <v>213149.99999999997</v>
      </c>
    </row>
    <row r="104" spans="1:8" ht="20.149999999999999" hidden="1" thickBot="1" x14ac:dyDescent="0.7">
      <c r="A104" s="656"/>
      <c r="B104" s="549"/>
    </row>
    <row r="105" spans="1:8" ht="19.75" hidden="1" x14ac:dyDescent="0.65">
      <c r="A105" s="656"/>
      <c r="B105" s="549"/>
      <c r="C105" s="639" t="s">
        <v>123</v>
      </c>
      <c r="D105" s="641" t="s">
        <v>155</v>
      </c>
      <c r="E105" s="641" t="s">
        <v>1</v>
      </c>
      <c r="F105" s="158" t="s">
        <v>77</v>
      </c>
      <c r="G105" s="641" t="s">
        <v>121</v>
      </c>
      <c r="H105" s="660" t="s">
        <v>114</v>
      </c>
    </row>
    <row r="106" spans="1:8" ht="19.75" hidden="1" x14ac:dyDescent="0.65">
      <c r="A106" s="656"/>
      <c r="B106" s="549"/>
      <c r="C106" s="640"/>
      <c r="D106" s="642"/>
      <c r="E106" s="642"/>
      <c r="F106" s="161" t="s">
        <v>62</v>
      </c>
      <c r="G106" s="642"/>
      <c r="H106" s="661"/>
    </row>
    <row r="107" spans="1:8" ht="19.75" hidden="1" x14ac:dyDescent="0.65">
      <c r="A107" s="656"/>
      <c r="B107" s="549"/>
      <c r="C107" s="112"/>
      <c r="D107" s="297" t="s">
        <v>155</v>
      </c>
      <c r="E107" s="108">
        <v>1</v>
      </c>
      <c r="F107" s="108">
        <f>G107*1000/E107</f>
        <v>14974853.249999998</v>
      </c>
      <c r="G107" s="108">
        <f>H107*ریال/میلیون</f>
        <v>14974.853249999998</v>
      </c>
      <c r="H107" s="109">
        <f>('برآوردهاي پايه'!$D31)*('سرمایه ثابت'!$F$11*میلیون)*$E107</f>
        <v>10149.999999999998</v>
      </c>
    </row>
    <row r="108" spans="1:8" ht="20.149999999999999" hidden="1" thickBot="1" x14ac:dyDescent="0.7">
      <c r="A108" s="656"/>
      <c r="B108" s="549"/>
      <c r="C108" s="645" t="s">
        <v>17</v>
      </c>
      <c r="D108" s="646"/>
      <c r="E108" s="646"/>
      <c r="F108" s="646"/>
      <c r="G108" s="173">
        <f>SUM(G107:G107)</f>
        <v>14974.853249999998</v>
      </c>
      <c r="H108" s="174">
        <f>SUM(H107:H107)</f>
        <v>10149.999999999998</v>
      </c>
    </row>
    <row r="109" spans="1:8" ht="20.149999999999999" hidden="1" thickBot="1" x14ac:dyDescent="0.7">
      <c r="A109" s="656"/>
      <c r="B109" s="549"/>
    </row>
    <row r="110" spans="1:8" ht="19.75" hidden="1" x14ac:dyDescent="0.65">
      <c r="A110" s="656"/>
      <c r="B110" s="549"/>
      <c r="C110" s="639" t="s">
        <v>124</v>
      </c>
      <c r="D110" s="641" t="s">
        <v>156</v>
      </c>
      <c r="E110" s="641" t="s">
        <v>1</v>
      </c>
      <c r="F110" s="158" t="s">
        <v>77</v>
      </c>
      <c r="G110" s="157" t="s">
        <v>10</v>
      </c>
      <c r="H110" s="159" t="s">
        <v>61</v>
      </c>
    </row>
    <row r="111" spans="1:8" ht="19.75" hidden="1" x14ac:dyDescent="0.65">
      <c r="A111" s="656"/>
      <c r="B111" s="549"/>
      <c r="C111" s="640"/>
      <c r="D111" s="642"/>
      <c r="E111" s="642"/>
      <c r="F111" s="161" t="s">
        <v>62</v>
      </c>
      <c r="G111" s="160" t="s">
        <v>78</v>
      </c>
      <c r="H111" s="162"/>
    </row>
    <row r="112" spans="1:8" ht="19.75" hidden="1" x14ac:dyDescent="0.65">
      <c r="A112" s="656"/>
      <c r="B112" s="549"/>
      <c r="C112" s="112"/>
      <c r="D112" s="83" t="s">
        <v>156</v>
      </c>
      <c r="E112" s="108">
        <v>1</v>
      </c>
      <c r="F112" s="108">
        <f>G112*1000/E112</f>
        <v>22462279.874999996</v>
      </c>
      <c r="G112" s="108">
        <f>H112*ریال/میلیون</f>
        <v>22462.279874999997</v>
      </c>
      <c r="H112" s="109">
        <f>('برآوردهاي پايه'!$D33)*('سرمایه ثابت'!$F$11*میلیون)*$E112</f>
        <v>15224.999999999998</v>
      </c>
    </row>
    <row r="113" spans="1:8" ht="20.149999999999999" hidden="1" thickBot="1" x14ac:dyDescent="0.7">
      <c r="A113" s="656"/>
      <c r="B113" s="549"/>
      <c r="C113" s="645" t="s">
        <v>17</v>
      </c>
      <c r="D113" s="646"/>
      <c r="E113" s="646"/>
      <c r="F113" s="646"/>
      <c r="G113" s="173">
        <f>SUM(G112:G112)</f>
        <v>22462.279874999997</v>
      </c>
      <c r="H113" s="174">
        <f>SUM(H112:H112)</f>
        <v>15224.999999999998</v>
      </c>
    </row>
    <row r="114" spans="1:8" ht="15.9" hidden="1" thickBot="1" x14ac:dyDescent="0.7">
      <c r="E114" s="36"/>
    </row>
    <row r="115" spans="1:8" ht="19.5" hidden="1" customHeight="1" x14ac:dyDescent="0.65">
      <c r="A115" s="655" t="s">
        <v>191</v>
      </c>
      <c r="B115" s="548"/>
      <c r="C115" s="639" t="s">
        <v>21</v>
      </c>
      <c r="D115" s="641" t="s">
        <v>68</v>
      </c>
      <c r="E115" s="641" t="s">
        <v>1</v>
      </c>
      <c r="F115" s="158" t="s">
        <v>77</v>
      </c>
      <c r="G115" s="641" t="s">
        <v>121</v>
      </c>
      <c r="H115" s="660" t="s">
        <v>114</v>
      </c>
    </row>
    <row r="116" spans="1:8" ht="19.5" hidden="1" customHeight="1" x14ac:dyDescent="0.65">
      <c r="A116" s="656"/>
      <c r="B116" s="549"/>
      <c r="C116" s="640"/>
      <c r="D116" s="642"/>
      <c r="E116" s="642"/>
      <c r="F116" s="161" t="s">
        <v>62</v>
      </c>
      <c r="G116" s="642"/>
      <c r="H116" s="661"/>
    </row>
    <row r="117" spans="1:8" ht="19.75" hidden="1" x14ac:dyDescent="0.65">
      <c r="A117" s="656"/>
      <c r="B117" s="549"/>
      <c r="C117" s="112">
        <v>1</v>
      </c>
      <c r="D117" s="297" t="s">
        <v>157</v>
      </c>
      <c r="E117" s="108">
        <v>1</v>
      </c>
      <c r="F117" s="108">
        <f>G117*1000/E117</f>
        <v>0</v>
      </c>
      <c r="G117" s="108">
        <f>H117*ریال/میلیون</f>
        <v>0</v>
      </c>
      <c r="H117" s="109">
        <f>('برآوردهاي پايه'!$D11)*('سرمایه ثابت'!$F$15*میلیون)*$E117</f>
        <v>0</v>
      </c>
    </row>
    <row r="118" spans="1:8" ht="19.75" hidden="1" x14ac:dyDescent="0.65">
      <c r="A118" s="656"/>
      <c r="B118" s="549"/>
      <c r="C118" s="112">
        <v>2</v>
      </c>
      <c r="D118" s="297" t="s">
        <v>158</v>
      </c>
      <c r="E118" s="108">
        <v>1</v>
      </c>
      <c r="F118" s="108">
        <f t="shared" ref="F118:F119" si="4">G118*1000/E118</f>
        <v>0</v>
      </c>
      <c r="G118" s="108">
        <f>H118*ریال/میلیون</f>
        <v>0</v>
      </c>
      <c r="H118" s="109">
        <f>('برآوردهاي پايه'!$D12)*('سرمایه ثابت'!$F$15*میلیون)*$E118</f>
        <v>0</v>
      </c>
    </row>
    <row r="119" spans="1:8" ht="19.75" hidden="1" x14ac:dyDescent="0.65">
      <c r="A119" s="656"/>
      <c r="B119" s="549"/>
      <c r="C119" s="112">
        <v>3</v>
      </c>
      <c r="D119" s="298" t="s">
        <v>159</v>
      </c>
      <c r="E119" s="108">
        <v>1</v>
      </c>
      <c r="F119" s="108">
        <f t="shared" si="4"/>
        <v>0</v>
      </c>
      <c r="G119" s="108">
        <f>H119*ریال/میلیون</f>
        <v>0</v>
      </c>
      <c r="H119" s="109">
        <f>('برآوردهاي پايه'!$D13)*('سرمایه ثابت'!$F$15*میلیون)*$E119</f>
        <v>0</v>
      </c>
    </row>
    <row r="120" spans="1:8" ht="20.149999999999999" hidden="1" thickBot="1" x14ac:dyDescent="0.7">
      <c r="A120" s="656"/>
      <c r="B120" s="549"/>
      <c r="C120" s="645" t="s">
        <v>17</v>
      </c>
      <c r="D120" s="646"/>
      <c r="E120" s="646"/>
      <c r="F120" s="646"/>
      <c r="G120" s="173">
        <f>SUM(G117:G119)</f>
        <v>0</v>
      </c>
      <c r="H120" s="174">
        <f>SUM(H117:H119)</f>
        <v>0</v>
      </c>
    </row>
    <row r="121" spans="1:8" ht="20.149999999999999" hidden="1" thickBot="1" x14ac:dyDescent="0.7">
      <c r="A121" s="656"/>
      <c r="B121" s="549"/>
    </row>
    <row r="122" spans="1:8" ht="19.75" hidden="1" x14ac:dyDescent="0.65">
      <c r="A122" s="656"/>
      <c r="B122" s="549"/>
      <c r="C122" s="639" t="s">
        <v>54</v>
      </c>
      <c r="D122" s="641" t="s">
        <v>177</v>
      </c>
      <c r="E122" s="641" t="s">
        <v>1</v>
      </c>
      <c r="F122" s="158" t="s">
        <v>77</v>
      </c>
      <c r="G122" s="641" t="s">
        <v>121</v>
      </c>
      <c r="H122" s="660" t="s">
        <v>114</v>
      </c>
    </row>
    <row r="123" spans="1:8" ht="19.75" hidden="1" x14ac:dyDescent="0.65">
      <c r="A123" s="656"/>
      <c r="B123" s="549"/>
      <c r="C123" s="640"/>
      <c r="D123" s="642"/>
      <c r="E123" s="642"/>
      <c r="F123" s="161" t="s">
        <v>62</v>
      </c>
      <c r="G123" s="642"/>
      <c r="H123" s="661"/>
    </row>
    <row r="124" spans="1:8" ht="19.75" hidden="1" x14ac:dyDescent="0.65">
      <c r="A124" s="656"/>
      <c r="B124" s="549"/>
      <c r="C124" s="112">
        <v>1</v>
      </c>
      <c r="D124" s="297" t="s">
        <v>164</v>
      </c>
      <c r="E124" s="108">
        <v>1</v>
      </c>
      <c r="F124" s="108">
        <f>G124*1000/E124</f>
        <v>0</v>
      </c>
      <c r="G124" s="108">
        <f>H124*ریال/میلیون</f>
        <v>0</v>
      </c>
      <c r="H124" s="109">
        <f>('برآوردهاي پايه'!$D15)*('سرمایه ثابت'!$F$15*میلیون)*$E124</f>
        <v>0</v>
      </c>
    </row>
    <row r="125" spans="1:8" ht="19.75" hidden="1" x14ac:dyDescent="0.65">
      <c r="A125" s="656"/>
      <c r="B125" s="549"/>
      <c r="C125" s="112">
        <v>2</v>
      </c>
      <c r="D125" s="297" t="s">
        <v>165</v>
      </c>
      <c r="E125" s="108">
        <v>1</v>
      </c>
      <c r="F125" s="108">
        <f t="shared" ref="F125:F128" si="5">G125*1000/E125</f>
        <v>0</v>
      </c>
      <c r="G125" s="108">
        <f>H125*ریال/میلیون</f>
        <v>0</v>
      </c>
      <c r="H125" s="109">
        <f>('برآوردهاي پايه'!$D16)*('سرمایه ثابت'!$F$15*میلیون)*$E125</f>
        <v>0</v>
      </c>
    </row>
    <row r="126" spans="1:8" ht="19.75" hidden="1" x14ac:dyDescent="0.65">
      <c r="A126" s="656"/>
      <c r="B126" s="549"/>
      <c r="C126" s="112">
        <v>3</v>
      </c>
      <c r="D126" s="297" t="s">
        <v>169</v>
      </c>
      <c r="E126" s="108">
        <v>1</v>
      </c>
      <c r="F126" s="108">
        <f t="shared" si="5"/>
        <v>0</v>
      </c>
      <c r="G126" s="108">
        <f>H126*ریال/میلیون</f>
        <v>0</v>
      </c>
      <c r="H126" s="109">
        <f>('برآوردهاي پايه'!$D17)*('سرمایه ثابت'!$F$15*میلیون)*$E126</f>
        <v>0</v>
      </c>
    </row>
    <row r="127" spans="1:8" ht="19.75" hidden="1" x14ac:dyDescent="0.65">
      <c r="A127" s="656"/>
      <c r="B127" s="549"/>
      <c r="C127" s="112">
        <v>4</v>
      </c>
      <c r="D127" s="297" t="s">
        <v>167</v>
      </c>
      <c r="E127" s="108">
        <v>1</v>
      </c>
      <c r="F127" s="108">
        <f t="shared" si="5"/>
        <v>0</v>
      </c>
      <c r="G127" s="108">
        <f>H127*ریال/میلیون</f>
        <v>0</v>
      </c>
      <c r="H127" s="109">
        <f>('برآوردهاي پايه'!$D18)*('سرمایه ثابت'!$F$15*میلیون)*$E127</f>
        <v>0</v>
      </c>
    </row>
    <row r="128" spans="1:8" ht="19.75" hidden="1" x14ac:dyDescent="0.65">
      <c r="A128" s="656"/>
      <c r="B128" s="549"/>
      <c r="C128" s="112">
        <v>5</v>
      </c>
      <c r="D128" s="297" t="s">
        <v>168</v>
      </c>
      <c r="E128" s="108">
        <v>1</v>
      </c>
      <c r="F128" s="108">
        <f t="shared" si="5"/>
        <v>0</v>
      </c>
      <c r="G128" s="108">
        <f>H128*ریال/میلیون</f>
        <v>0</v>
      </c>
      <c r="H128" s="109">
        <f>('برآوردهاي پايه'!$D19)*('سرمایه ثابت'!$F$15*میلیون)*$E128</f>
        <v>0</v>
      </c>
    </row>
    <row r="129" spans="1:8" ht="20.149999999999999" hidden="1" thickBot="1" x14ac:dyDescent="0.7">
      <c r="A129" s="656"/>
      <c r="B129" s="549"/>
      <c r="C129" s="645" t="s">
        <v>17</v>
      </c>
      <c r="D129" s="646"/>
      <c r="E129" s="646"/>
      <c r="F129" s="646"/>
      <c r="G129" s="173">
        <f>SUM(G124:G128)</f>
        <v>0</v>
      </c>
      <c r="H129" s="174">
        <f>SUM(H124:H128)</f>
        <v>0</v>
      </c>
    </row>
    <row r="130" spans="1:8" ht="20.149999999999999" hidden="1" thickBot="1" x14ac:dyDescent="0.7">
      <c r="A130" s="656"/>
      <c r="B130" s="549"/>
    </row>
    <row r="131" spans="1:8" ht="19.75" hidden="1" x14ac:dyDescent="0.65">
      <c r="A131" s="656"/>
      <c r="B131" s="549"/>
      <c r="C131" s="639" t="s">
        <v>201</v>
      </c>
      <c r="D131" s="641" t="s">
        <v>154</v>
      </c>
      <c r="E131" s="641" t="s">
        <v>1</v>
      </c>
      <c r="F131" s="158" t="s">
        <v>77</v>
      </c>
      <c r="G131" s="641" t="s">
        <v>121</v>
      </c>
      <c r="H131" s="660" t="s">
        <v>114</v>
      </c>
    </row>
    <row r="132" spans="1:8" ht="19.75" hidden="1" x14ac:dyDescent="0.65">
      <c r="A132" s="656"/>
      <c r="B132" s="549"/>
      <c r="C132" s="640"/>
      <c r="D132" s="642"/>
      <c r="E132" s="642"/>
      <c r="F132" s="161" t="s">
        <v>62</v>
      </c>
      <c r="G132" s="642"/>
      <c r="H132" s="661"/>
    </row>
    <row r="133" spans="1:8" ht="19.75" hidden="1" x14ac:dyDescent="0.65">
      <c r="A133" s="656"/>
      <c r="B133" s="549"/>
      <c r="C133" s="112">
        <v>1</v>
      </c>
      <c r="D133" s="297" t="s">
        <v>170</v>
      </c>
      <c r="E133" s="108">
        <v>1</v>
      </c>
      <c r="F133" s="108">
        <f>G133*1000/E133</f>
        <v>0</v>
      </c>
      <c r="G133" s="108">
        <f t="shared" ref="G133:G141" si="6">H133*ریال/میلیون</f>
        <v>0</v>
      </c>
      <c r="H133" s="109">
        <f>('برآوردهاي پايه'!$D21)*('سرمایه ثابت'!$F$15*میلیون)*$E133</f>
        <v>0</v>
      </c>
    </row>
    <row r="134" spans="1:8" ht="19.75" hidden="1" x14ac:dyDescent="0.65">
      <c r="A134" s="656"/>
      <c r="B134" s="549"/>
      <c r="C134" s="112">
        <v>2</v>
      </c>
      <c r="D134" s="297" t="s">
        <v>171</v>
      </c>
      <c r="E134" s="108">
        <v>1</v>
      </c>
      <c r="F134" s="108">
        <f t="shared" ref="F134:F141" si="7">G134*1000/E134</f>
        <v>0</v>
      </c>
      <c r="G134" s="108">
        <f t="shared" si="6"/>
        <v>0</v>
      </c>
      <c r="H134" s="109">
        <f>('برآوردهاي پايه'!$D22)*('سرمایه ثابت'!$F$15*میلیون)*$E134</f>
        <v>0</v>
      </c>
    </row>
    <row r="135" spans="1:8" ht="19.75" hidden="1" x14ac:dyDescent="0.65">
      <c r="A135" s="656"/>
      <c r="B135" s="549"/>
      <c r="C135" s="112">
        <v>3</v>
      </c>
      <c r="D135" s="297" t="s">
        <v>172</v>
      </c>
      <c r="E135" s="108">
        <v>1</v>
      </c>
      <c r="F135" s="108">
        <f t="shared" si="7"/>
        <v>0</v>
      </c>
      <c r="G135" s="108">
        <f t="shared" si="6"/>
        <v>0</v>
      </c>
      <c r="H135" s="109">
        <f>('برآوردهاي پايه'!$D23)*('سرمایه ثابت'!$F$15*میلیون)*$E135</f>
        <v>0</v>
      </c>
    </row>
    <row r="136" spans="1:8" ht="19.75" hidden="1" x14ac:dyDescent="0.65">
      <c r="A136" s="656"/>
      <c r="B136" s="549"/>
      <c r="C136" s="112">
        <v>4</v>
      </c>
      <c r="D136" s="297" t="s">
        <v>173</v>
      </c>
      <c r="E136" s="108">
        <v>1</v>
      </c>
      <c r="F136" s="108">
        <f t="shared" si="7"/>
        <v>0</v>
      </c>
      <c r="G136" s="108">
        <f t="shared" si="6"/>
        <v>0</v>
      </c>
      <c r="H136" s="109">
        <f>('برآوردهاي پايه'!$D24)*('سرمایه ثابت'!$F$15*میلیون)*$E136</f>
        <v>0</v>
      </c>
    </row>
    <row r="137" spans="1:8" ht="19.75" hidden="1" x14ac:dyDescent="0.65">
      <c r="A137" s="656"/>
      <c r="B137" s="549"/>
      <c r="C137" s="112">
        <v>5</v>
      </c>
      <c r="D137" s="297" t="s">
        <v>174</v>
      </c>
      <c r="E137" s="108">
        <v>1</v>
      </c>
      <c r="F137" s="108">
        <f t="shared" si="7"/>
        <v>0</v>
      </c>
      <c r="G137" s="108">
        <f t="shared" si="6"/>
        <v>0</v>
      </c>
      <c r="H137" s="109">
        <f>('برآوردهاي پايه'!$D25)*('سرمایه ثابت'!$F$15*میلیون)*$E137</f>
        <v>0</v>
      </c>
    </row>
    <row r="138" spans="1:8" ht="19.75" hidden="1" x14ac:dyDescent="0.65">
      <c r="A138" s="656"/>
      <c r="B138" s="549"/>
      <c r="C138" s="112">
        <v>6</v>
      </c>
      <c r="D138" s="297" t="s">
        <v>165</v>
      </c>
      <c r="E138" s="108">
        <v>1</v>
      </c>
      <c r="F138" s="108">
        <f t="shared" si="7"/>
        <v>0</v>
      </c>
      <c r="G138" s="108">
        <f t="shared" si="6"/>
        <v>0</v>
      </c>
      <c r="H138" s="109">
        <f>('برآوردهاي پايه'!$D26)*('سرمایه ثابت'!$F$15*میلیون)*$E138</f>
        <v>0</v>
      </c>
    </row>
    <row r="139" spans="1:8" ht="19.75" hidden="1" x14ac:dyDescent="0.65">
      <c r="A139" s="656"/>
      <c r="B139" s="549"/>
      <c r="C139" s="112">
        <v>7</v>
      </c>
      <c r="D139" s="297" t="s">
        <v>175</v>
      </c>
      <c r="E139" s="108">
        <v>1</v>
      </c>
      <c r="F139" s="108">
        <f t="shared" si="7"/>
        <v>0</v>
      </c>
      <c r="G139" s="108">
        <f t="shared" si="6"/>
        <v>0</v>
      </c>
      <c r="H139" s="109">
        <f>('برآوردهاي پايه'!$D27)*('سرمایه ثابت'!$F$15*میلیون)*$E139</f>
        <v>0</v>
      </c>
    </row>
    <row r="140" spans="1:8" ht="19.75" hidden="1" x14ac:dyDescent="0.65">
      <c r="A140" s="656"/>
      <c r="B140" s="549"/>
      <c r="C140" s="112">
        <v>8</v>
      </c>
      <c r="D140" s="297" t="s">
        <v>167</v>
      </c>
      <c r="E140" s="108">
        <v>1</v>
      </c>
      <c r="F140" s="108">
        <f t="shared" si="7"/>
        <v>0</v>
      </c>
      <c r="G140" s="108">
        <f t="shared" si="6"/>
        <v>0</v>
      </c>
      <c r="H140" s="109">
        <f>('برآوردهاي پايه'!$D28)*('سرمایه ثابت'!$F$15*میلیون)*$E140</f>
        <v>0</v>
      </c>
    </row>
    <row r="141" spans="1:8" ht="18" hidden="1" customHeight="1" x14ac:dyDescent="0.65">
      <c r="A141" s="656"/>
      <c r="B141" s="549"/>
      <c r="C141" s="112">
        <v>9</v>
      </c>
      <c r="D141" s="297" t="s">
        <v>176</v>
      </c>
      <c r="E141" s="108">
        <v>1</v>
      </c>
      <c r="F141" s="108">
        <f t="shared" si="7"/>
        <v>0</v>
      </c>
      <c r="G141" s="108">
        <f t="shared" si="6"/>
        <v>0</v>
      </c>
      <c r="H141" s="109">
        <f>('برآوردهاي پايه'!$D29)*('سرمایه ثابت'!$F$15*میلیون)*$E141</f>
        <v>0</v>
      </c>
    </row>
    <row r="142" spans="1:8" ht="20.149999999999999" hidden="1" thickBot="1" x14ac:dyDescent="0.7">
      <c r="A142" s="656"/>
      <c r="B142" s="549"/>
      <c r="C142" s="645" t="s">
        <v>17</v>
      </c>
      <c r="D142" s="646"/>
      <c r="E142" s="646"/>
      <c r="F142" s="646"/>
      <c r="G142" s="173">
        <f>SUM(G133:G141)</f>
        <v>0</v>
      </c>
      <c r="H142" s="174">
        <f>SUM(H133:H141)</f>
        <v>0</v>
      </c>
    </row>
    <row r="143" spans="1:8" ht="20.149999999999999" hidden="1" thickBot="1" x14ac:dyDescent="0.7">
      <c r="A143" s="656"/>
      <c r="B143" s="549"/>
    </row>
    <row r="144" spans="1:8" ht="19.75" hidden="1" x14ac:dyDescent="0.65">
      <c r="A144" s="656"/>
      <c r="B144" s="549"/>
      <c r="C144" s="639" t="s">
        <v>202</v>
      </c>
      <c r="D144" s="641" t="s">
        <v>155</v>
      </c>
      <c r="E144" s="641" t="s">
        <v>1</v>
      </c>
      <c r="F144" s="158" t="s">
        <v>77</v>
      </c>
      <c r="G144" s="641" t="s">
        <v>121</v>
      </c>
      <c r="H144" s="660" t="s">
        <v>114</v>
      </c>
    </row>
    <row r="145" spans="1:8" ht="19.75" hidden="1" x14ac:dyDescent="0.65">
      <c r="A145" s="656"/>
      <c r="B145" s="549"/>
      <c r="C145" s="640"/>
      <c r="D145" s="642"/>
      <c r="E145" s="642"/>
      <c r="F145" s="161" t="s">
        <v>62</v>
      </c>
      <c r="G145" s="642"/>
      <c r="H145" s="661"/>
    </row>
    <row r="146" spans="1:8" ht="16.5" hidden="1" customHeight="1" thickBot="1" x14ac:dyDescent="0.7">
      <c r="A146" s="656"/>
      <c r="B146" s="549"/>
      <c r="C146" s="292"/>
      <c r="D146" s="299" t="s">
        <v>155</v>
      </c>
      <c r="E146" s="293">
        <v>1</v>
      </c>
      <c r="F146" s="293">
        <f>G146*1000/E146</f>
        <v>0</v>
      </c>
      <c r="G146" s="293">
        <f>H146*ریال/میلیون</f>
        <v>0</v>
      </c>
      <c r="H146" s="147">
        <f>('برآوردهاي پايه'!$D31)*('سرمایه ثابت'!$F$15*میلیون)*$E146</f>
        <v>0</v>
      </c>
    </row>
    <row r="147" spans="1:8" ht="20.149999999999999" hidden="1" thickBot="1" x14ac:dyDescent="0.7">
      <c r="A147" s="656"/>
      <c r="B147" s="549"/>
      <c r="C147" s="657" t="s">
        <v>17</v>
      </c>
      <c r="D147" s="658"/>
      <c r="E147" s="658"/>
      <c r="F147" s="659"/>
      <c r="G147" s="300">
        <f>SUM(G146:G146)</f>
        <v>0</v>
      </c>
      <c r="H147" s="216">
        <f>SUM(H146:H146)</f>
        <v>0</v>
      </c>
    </row>
    <row r="148" spans="1:8" ht="20.6" hidden="1" thickTop="1" thickBot="1" x14ac:dyDescent="0.7">
      <c r="A148" s="656"/>
      <c r="B148" s="549"/>
    </row>
    <row r="149" spans="1:8" ht="19.75" hidden="1" x14ac:dyDescent="0.65">
      <c r="A149" s="656"/>
      <c r="B149" s="549"/>
      <c r="C149" s="639" t="s">
        <v>203</v>
      </c>
      <c r="D149" s="641" t="s">
        <v>156</v>
      </c>
      <c r="E149" s="641" t="s">
        <v>1</v>
      </c>
      <c r="F149" s="158" t="s">
        <v>77</v>
      </c>
      <c r="G149" s="157" t="s">
        <v>10</v>
      </c>
      <c r="H149" s="643" t="s">
        <v>61</v>
      </c>
    </row>
    <row r="150" spans="1:8" ht="19.75" hidden="1" x14ac:dyDescent="0.65">
      <c r="A150" s="656"/>
      <c r="B150" s="549"/>
      <c r="C150" s="640"/>
      <c r="D150" s="642"/>
      <c r="E150" s="642"/>
      <c r="F150" s="161" t="s">
        <v>62</v>
      </c>
      <c r="G150" s="160" t="s">
        <v>78</v>
      </c>
      <c r="H150" s="644"/>
    </row>
    <row r="151" spans="1:8" ht="19.75" hidden="1" x14ac:dyDescent="0.65">
      <c r="A151" s="656"/>
      <c r="B151" s="549"/>
      <c r="C151" s="112"/>
      <c r="D151" s="83" t="s">
        <v>156</v>
      </c>
      <c r="E151" s="108">
        <v>1</v>
      </c>
      <c r="F151" s="108">
        <f>G151*1000/E151</f>
        <v>0</v>
      </c>
      <c r="G151" s="108">
        <f>H151*ریال/میلیون</f>
        <v>0</v>
      </c>
      <c r="H151" s="109">
        <f>('برآوردهاي پايه'!$D33)*('سرمایه ثابت'!$F$15*میلیون)*$E151</f>
        <v>0</v>
      </c>
    </row>
    <row r="152" spans="1:8" ht="20.149999999999999" hidden="1" thickBot="1" x14ac:dyDescent="0.7">
      <c r="A152" s="656"/>
      <c r="B152" s="549"/>
      <c r="C152" s="645" t="s">
        <v>17</v>
      </c>
      <c r="D152" s="646"/>
      <c r="E152" s="646"/>
      <c r="F152" s="646"/>
      <c r="G152" s="173">
        <f>SUM(G151:G151)</f>
        <v>0</v>
      </c>
      <c r="H152" s="174">
        <f>SUM(H151:H151)</f>
        <v>0</v>
      </c>
    </row>
    <row r="153" spans="1:8" ht="20.149999999999999" hidden="1" thickBot="1" x14ac:dyDescent="0.7">
      <c r="C153" s="78"/>
      <c r="D153" s="78"/>
      <c r="E153" s="78"/>
      <c r="F153" s="78"/>
      <c r="G153" s="79"/>
      <c r="H153" s="79"/>
    </row>
    <row r="154" spans="1:8" ht="19.75" hidden="1" x14ac:dyDescent="0.65">
      <c r="A154" s="655" t="s">
        <v>192</v>
      </c>
      <c r="B154" s="548"/>
      <c r="C154" s="639" t="s">
        <v>206</v>
      </c>
      <c r="D154" s="641" t="s">
        <v>68</v>
      </c>
      <c r="E154" s="641" t="s">
        <v>1</v>
      </c>
      <c r="F154" s="158" t="s">
        <v>77</v>
      </c>
      <c r="G154" s="641" t="s">
        <v>121</v>
      </c>
      <c r="H154" s="660" t="s">
        <v>114</v>
      </c>
    </row>
    <row r="155" spans="1:8" ht="19.75" hidden="1" x14ac:dyDescent="0.65">
      <c r="A155" s="656"/>
      <c r="B155" s="549"/>
      <c r="C155" s="640"/>
      <c r="D155" s="642"/>
      <c r="E155" s="642"/>
      <c r="F155" s="161" t="s">
        <v>62</v>
      </c>
      <c r="G155" s="642"/>
      <c r="H155" s="661"/>
    </row>
    <row r="156" spans="1:8" ht="19.75" hidden="1" x14ac:dyDescent="0.65">
      <c r="A156" s="656"/>
      <c r="B156" s="549"/>
      <c r="C156" s="112">
        <v>1</v>
      </c>
      <c r="D156" s="297" t="s">
        <v>353</v>
      </c>
      <c r="E156" s="108">
        <v>1</v>
      </c>
      <c r="F156" s="108">
        <f>G156*هزار/E156</f>
        <v>4426065</v>
      </c>
      <c r="G156" s="108">
        <f>H156*ریال/میلیون</f>
        <v>4426.0649999999996</v>
      </c>
      <c r="H156" s="109">
        <f>('برآوردهاي پايه'!$D39)*('سرمایه ثابت'!$F$12*میلیون)*$E156</f>
        <v>3000</v>
      </c>
    </row>
    <row r="157" spans="1:8" ht="20.149999999999999" hidden="1" thickBot="1" x14ac:dyDescent="0.7">
      <c r="A157" s="656"/>
      <c r="B157" s="549"/>
      <c r="C157" s="645" t="s">
        <v>17</v>
      </c>
      <c r="D157" s="646"/>
      <c r="E157" s="646"/>
      <c r="F157" s="646"/>
      <c r="G157" s="173">
        <f>SUM(G156:G156)</f>
        <v>4426.0649999999996</v>
      </c>
      <c r="H157" s="174">
        <f>SUM(H156:H156)</f>
        <v>3000</v>
      </c>
    </row>
    <row r="158" spans="1:8" ht="20.149999999999999" hidden="1" thickBot="1" x14ac:dyDescent="0.7">
      <c r="A158" s="656"/>
      <c r="B158" s="549"/>
    </row>
    <row r="159" spans="1:8" ht="19.75" hidden="1" x14ac:dyDescent="0.65">
      <c r="A159" s="656"/>
      <c r="B159" s="549"/>
      <c r="C159" s="639" t="s">
        <v>207</v>
      </c>
      <c r="D159" s="641" t="s">
        <v>177</v>
      </c>
      <c r="E159" s="641" t="s">
        <v>1</v>
      </c>
      <c r="F159" s="158" t="s">
        <v>77</v>
      </c>
      <c r="G159" s="641" t="s">
        <v>121</v>
      </c>
      <c r="H159" s="660" t="s">
        <v>114</v>
      </c>
    </row>
    <row r="160" spans="1:8" ht="19.75" hidden="1" x14ac:dyDescent="0.65">
      <c r="A160" s="656"/>
      <c r="B160" s="549"/>
      <c r="C160" s="640"/>
      <c r="D160" s="642"/>
      <c r="E160" s="642"/>
      <c r="F160" s="161" t="s">
        <v>62</v>
      </c>
      <c r="G160" s="642"/>
      <c r="H160" s="661"/>
    </row>
    <row r="161" spans="1:9" ht="19.75" hidden="1" x14ac:dyDescent="0.65">
      <c r="A161" s="656"/>
      <c r="B161" s="549"/>
      <c r="C161" s="112">
        <v>1</v>
      </c>
      <c r="D161" s="297" t="s">
        <v>165</v>
      </c>
      <c r="E161" s="108">
        <v>1</v>
      </c>
      <c r="F161" s="108">
        <f>G161*هزار/E161</f>
        <v>1659774375</v>
      </c>
      <c r="G161" s="108">
        <f>H161*ریال/میلیون</f>
        <v>1659774.375</v>
      </c>
      <c r="H161" s="109">
        <f>('برآوردهاي پايه'!$D41)*('سرمایه ثابت'!$F$12*میلیون)*$E161</f>
        <v>1125000</v>
      </c>
    </row>
    <row r="162" spans="1:9" ht="16.5" hidden="1" customHeight="1" x14ac:dyDescent="0.65">
      <c r="A162" s="656"/>
      <c r="B162" s="549"/>
      <c r="C162" s="112">
        <v>2</v>
      </c>
      <c r="D162" s="297" t="s">
        <v>167</v>
      </c>
      <c r="E162" s="108">
        <v>1</v>
      </c>
      <c r="F162" s="108">
        <f>G162*هزار/E162</f>
        <v>265563900.00000003</v>
      </c>
      <c r="G162" s="108">
        <f>H162*ریال/میلیون</f>
        <v>265563.90000000002</v>
      </c>
      <c r="H162" s="109">
        <f>('برآوردهاي پايه'!$D42)*('سرمایه ثابت'!$F$12*میلیون)*$E162</f>
        <v>180000</v>
      </c>
    </row>
    <row r="163" spans="1:9" ht="19.75" hidden="1" x14ac:dyDescent="0.65">
      <c r="A163" s="656"/>
      <c r="B163" s="549"/>
      <c r="C163" s="112">
        <v>3</v>
      </c>
      <c r="D163" s="297" t="s">
        <v>352</v>
      </c>
      <c r="E163" s="108">
        <v>1</v>
      </c>
      <c r="F163" s="108">
        <f>G163*هزار/E163</f>
        <v>88521300</v>
      </c>
      <c r="G163" s="108">
        <f>H163*ریال/میلیون</f>
        <v>88521.3</v>
      </c>
      <c r="H163" s="109">
        <f>('برآوردهاي پايه'!$D43)*('سرمایه ثابت'!$F$12*میلیون)*$E163</f>
        <v>60000</v>
      </c>
    </row>
    <row r="164" spans="1:9" ht="19.75" hidden="1" x14ac:dyDescent="0.65">
      <c r="A164" s="656"/>
      <c r="B164" s="549"/>
      <c r="C164" s="112">
        <v>4</v>
      </c>
      <c r="D164" s="297" t="s">
        <v>354</v>
      </c>
      <c r="E164" s="108">
        <v>1</v>
      </c>
      <c r="F164" s="108">
        <f>G164*هزار/E164</f>
        <v>44260650</v>
      </c>
      <c r="G164" s="108">
        <f>H164*ریال/میلیون</f>
        <v>44260.65</v>
      </c>
      <c r="H164" s="109">
        <f>('برآوردهاي پايه'!$D44)*('سرمایه ثابت'!$F$12*میلیون)*$E164</f>
        <v>30000</v>
      </c>
    </row>
    <row r="165" spans="1:9" ht="20.149999999999999" hidden="1" thickBot="1" x14ac:dyDescent="0.7">
      <c r="A165" s="656"/>
      <c r="B165" s="549"/>
      <c r="C165" s="645" t="s">
        <v>17</v>
      </c>
      <c r="D165" s="646"/>
      <c r="E165" s="646"/>
      <c r="F165" s="646"/>
      <c r="G165" s="173">
        <f>SUM(G161:G164)</f>
        <v>2058120.2249999999</v>
      </c>
      <c r="H165" s="174">
        <f>SUM(H161:H164)</f>
        <v>1395000</v>
      </c>
    </row>
    <row r="166" spans="1:9" ht="20.149999999999999" hidden="1" thickBot="1" x14ac:dyDescent="0.7">
      <c r="A166" s="656"/>
      <c r="B166" s="549"/>
    </row>
    <row r="167" spans="1:9" ht="19.75" hidden="1" x14ac:dyDescent="0.65">
      <c r="A167" s="656"/>
      <c r="B167" s="549"/>
      <c r="C167" s="639" t="s">
        <v>208</v>
      </c>
      <c r="D167" s="641" t="s">
        <v>154</v>
      </c>
      <c r="E167" s="641" t="s">
        <v>1</v>
      </c>
      <c r="F167" s="158" t="s">
        <v>77</v>
      </c>
      <c r="G167" s="641" t="s">
        <v>121</v>
      </c>
      <c r="H167" s="660" t="s">
        <v>114</v>
      </c>
    </row>
    <row r="168" spans="1:9" ht="16.5" hidden="1" customHeight="1" x14ac:dyDescent="0.65">
      <c r="A168" s="656"/>
      <c r="B168" s="549"/>
      <c r="C168" s="640"/>
      <c r="D168" s="642"/>
      <c r="E168" s="642"/>
      <c r="F168" s="161" t="s">
        <v>62</v>
      </c>
      <c r="G168" s="642"/>
      <c r="H168" s="661"/>
    </row>
    <row r="169" spans="1:9" ht="19.75" hidden="1" x14ac:dyDescent="0.65">
      <c r="A169" s="656"/>
      <c r="B169" s="549"/>
      <c r="C169" s="112">
        <v>1</v>
      </c>
      <c r="D169" s="297" t="s">
        <v>170</v>
      </c>
      <c r="E169" s="108">
        <v>1</v>
      </c>
      <c r="F169" s="108">
        <f t="shared" ref="F169:F176" si="8">G169*هزار/E169</f>
        <v>22130325</v>
      </c>
      <c r="G169" s="108">
        <f t="shared" ref="G169:G176" si="9">H169*ریال/میلیون</f>
        <v>22130.325000000001</v>
      </c>
      <c r="H169" s="109">
        <f>('برآوردهاي پايه'!$D46)*('سرمایه ثابت'!$F$12*میلیون)*$E169</f>
        <v>15000</v>
      </c>
      <c r="I169" s="92"/>
    </row>
    <row r="170" spans="1:9" ht="19.75" hidden="1" x14ac:dyDescent="0.65">
      <c r="A170" s="656"/>
      <c r="B170" s="549"/>
      <c r="C170" s="112">
        <v>2</v>
      </c>
      <c r="D170" s="297" t="s">
        <v>355</v>
      </c>
      <c r="E170" s="108">
        <v>1</v>
      </c>
      <c r="F170" s="108">
        <f t="shared" si="8"/>
        <v>11065162.5</v>
      </c>
      <c r="G170" s="108">
        <f t="shared" si="9"/>
        <v>11065.1625</v>
      </c>
      <c r="H170" s="109">
        <f>('برآوردهاي پايه'!$D47)*('سرمایه ثابت'!$F$12*میلیون)*$E170</f>
        <v>7500</v>
      </c>
    </row>
    <row r="171" spans="1:9" ht="19.75" hidden="1" x14ac:dyDescent="0.65">
      <c r="A171" s="656"/>
      <c r="B171" s="549"/>
      <c r="C171" s="112">
        <v>3</v>
      </c>
      <c r="D171" s="297" t="s">
        <v>172</v>
      </c>
      <c r="E171" s="108">
        <v>1</v>
      </c>
      <c r="F171" s="108">
        <f t="shared" si="8"/>
        <v>2213032.5</v>
      </c>
      <c r="G171" s="108">
        <f t="shared" si="9"/>
        <v>2213.0324999999998</v>
      </c>
      <c r="H171" s="109">
        <f>('برآوردهاي پايه'!$D48)*('سرمایه ثابت'!$F$12*میلیون)*$E171</f>
        <v>1500</v>
      </c>
    </row>
    <row r="172" spans="1:9" ht="19.75" hidden="1" x14ac:dyDescent="0.65">
      <c r="A172" s="656"/>
      <c r="B172" s="549"/>
      <c r="C172" s="112">
        <v>4</v>
      </c>
      <c r="D172" s="297" t="s">
        <v>357</v>
      </c>
      <c r="E172" s="108">
        <v>1</v>
      </c>
      <c r="F172" s="108">
        <f t="shared" si="8"/>
        <v>26556390</v>
      </c>
      <c r="G172" s="108">
        <f t="shared" si="9"/>
        <v>26556.39</v>
      </c>
      <c r="H172" s="109">
        <f>('برآوردهاي پايه'!$D49)*('سرمایه ثابت'!$F$12*میلیون)*$E172</f>
        <v>18000</v>
      </c>
    </row>
    <row r="173" spans="1:9" ht="19.75" hidden="1" x14ac:dyDescent="0.65">
      <c r="A173" s="656"/>
      <c r="B173" s="549"/>
      <c r="C173" s="112">
        <v>5</v>
      </c>
      <c r="D173" s="297" t="s">
        <v>358</v>
      </c>
      <c r="E173" s="108">
        <v>1</v>
      </c>
      <c r="F173" s="108">
        <f t="shared" si="8"/>
        <v>11065162.5</v>
      </c>
      <c r="G173" s="108">
        <f t="shared" si="9"/>
        <v>11065.1625</v>
      </c>
      <c r="H173" s="109">
        <f>('برآوردهاي پايه'!$D50)*('سرمایه ثابت'!$F$12*میلیون)*$E173</f>
        <v>7500</v>
      </c>
    </row>
    <row r="174" spans="1:9" ht="19.75" hidden="1" x14ac:dyDescent="0.65">
      <c r="A174" s="656"/>
      <c r="B174" s="549"/>
      <c r="C174" s="112">
        <v>6</v>
      </c>
      <c r="D174" s="297" t="s">
        <v>359</v>
      </c>
      <c r="E174" s="108">
        <v>1</v>
      </c>
      <c r="F174" s="108">
        <f t="shared" si="8"/>
        <v>4426065</v>
      </c>
      <c r="G174" s="108">
        <f t="shared" si="9"/>
        <v>4426.0649999999996</v>
      </c>
      <c r="H174" s="109">
        <f>('برآوردهاي پايه'!$D51)*('سرمایه ثابت'!$F$12*میلیون)*$E174</f>
        <v>3000</v>
      </c>
    </row>
    <row r="175" spans="1:9" ht="19.75" hidden="1" x14ac:dyDescent="0.65">
      <c r="A175" s="656"/>
      <c r="B175" s="549"/>
      <c r="C175" s="112">
        <v>7</v>
      </c>
      <c r="D175" s="297" t="s">
        <v>360</v>
      </c>
      <c r="E175" s="108">
        <v>1</v>
      </c>
      <c r="F175" s="108">
        <f t="shared" si="8"/>
        <v>4426065</v>
      </c>
      <c r="G175" s="108">
        <f t="shared" si="9"/>
        <v>4426.0649999999996</v>
      </c>
      <c r="H175" s="109">
        <f>('برآوردهاي پايه'!$D52)*('سرمایه ثابت'!$F$12*میلیون)*$E175</f>
        <v>3000</v>
      </c>
    </row>
    <row r="176" spans="1:9" ht="19.75" hidden="1" x14ac:dyDescent="0.65">
      <c r="A176" s="656"/>
      <c r="B176" s="549"/>
      <c r="C176" s="112">
        <v>8</v>
      </c>
      <c r="D176" s="297" t="s">
        <v>361</v>
      </c>
      <c r="E176" s="108">
        <v>1</v>
      </c>
      <c r="F176" s="108">
        <f t="shared" si="8"/>
        <v>6639097.5</v>
      </c>
      <c r="G176" s="108">
        <f t="shared" si="9"/>
        <v>6639.0974999999999</v>
      </c>
      <c r="H176" s="109">
        <f>('برآوردهاي پايه'!$D53)*('سرمایه ثابت'!$F$12*میلیون)*$E176</f>
        <v>4500</v>
      </c>
    </row>
    <row r="177" spans="1:9" ht="20.149999999999999" hidden="1" thickBot="1" x14ac:dyDescent="0.7">
      <c r="A177" s="656"/>
      <c r="B177" s="549"/>
      <c r="C177" s="645" t="s">
        <v>17</v>
      </c>
      <c r="D177" s="646"/>
      <c r="E177" s="646"/>
      <c r="F177" s="646"/>
      <c r="G177" s="173">
        <f>SUM(G169:G176)</f>
        <v>88521.300000000017</v>
      </c>
      <c r="H177" s="174">
        <f>SUM(H169:H176)</f>
        <v>60000</v>
      </c>
    </row>
    <row r="178" spans="1:9" ht="20.149999999999999" hidden="1" thickBot="1" x14ac:dyDescent="0.7">
      <c r="A178" s="656"/>
      <c r="B178" s="549"/>
    </row>
    <row r="179" spans="1:9" ht="19.75" hidden="1" x14ac:dyDescent="0.65">
      <c r="A179" s="656"/>
      <c r="B179" s="549"/>
      <c r="C179" s="639" t="s">
        <v>209</v>
      </c>
      <c r="D179" s="641" t="s">
        <v>155</v>
      </c>
      <c r="E179" s="641" t="s">
        <v>1</v>
      </c>
      <c r="F179" s="158" t="s">
        <v>77</v>
      </c>
      <c r="G179" s="641" t="s">
        <v>121</v>
      </c>
      <c r="H179" s="660" t="s">
        <v>114</v>
      </c>
    </row>
    <row r="180" spans="1:9" ht="19.75" hidden="1" x14ac:dyDescent="0.65">
      <c r="A180" s="656"/>
      <c r="B180" s="549"/>
      <c r="C180" s="640"/>
      <c r="D180" s="642"/>
      <c r="E180" s="642"/>
      <c r="F180" s="161" t="s">
        <v>62</v>
      </c>
      <c r="G180" s="642"/>
      <c r="H180" s="661"/>
    </row>
    <row r="181" spans="1:9" ht="19.75" hidden="1" x14ac:dyDescent="0.65">
      <c r="A181" s="656"/>
      <c r="B181" s="549"/>
      <c r="C181" s="112">
        <v>1</v>
      </c>
      <c r="D181" s="297" t="s">
        <v>362</v>
      </c>
      <c r="E181" s="108">
        <v>1</v>
      </c>
      <c r="F181" s="108">
        <f>G181*هزار/E181</f>
        <v>4426065</v>
      </c>
      <c r="G181" s="108">
        <f>H181*ریال/میلیون</f>
        <v>4426.0649999999996</v>
      </c>
      <c r="H181" s="109">
        <f>('برآوردهاي پايه'!$D55)*('سرمایه ثابت'!$F$12*میلیون)*$E181</f>
        <v>3000</v>
      </c>
      <c r="I181" s="92"/>
    </row>
    <row r="182" spans="1:9" ht="19.75" hidden="1" x14ac:dyDescent="0.65">
      <c r="A182" s="656"/>
      <c r="B182" s="549"/>
      <c r="C182" s="112">
        <v>2</v>
      </c>
      <c r="D182" s="297" t="s">
        <v>363</v>
      </c>
      <c r="E182" s="108">
        <v>1</v>
      </c>
      <c r="F182" s="108">
        <f>G182*هزار/E182</f>
        <v>6639097.5</v>
      </c>
      <c r="G182" s="108">
        <f>H182*ریال/میلیون</f>
        <v>6639.0974999999999</v>
      </c>
      <c r="H182" s="109">
        <f>('برآوردهاي پايه'!$D56)*('سرمایه ثابت'!$F$12*میلیون)*$E182</f>
        <v>4500</v>
      </c>
    </row>
    <row r="183" spans="1:9" ht="19.75" hidden="1" x14ac:dyDescent="0.65">
      <c r="A183" s="656"/>
      <c r="B183" s="549"/>
      <c r="C183" s="112">
        <v>3</v>
      </c>
      <c r="D183" s="297" t="s">
        <v>364</v>
      </c>
      <c r="E183" s="108">
        <v>1</v>
      </c>
      <c r="F183" s="108">
        <f>G183*هزار/E183</f>
        <v>6639097.5</v>
      </c>
      <c r="G183" s="108">
        <f>H183*ریال/میلیون</f>
        <v>6639.0974999999999</v>
      </c>
      <c r="H183" s="109">
        <f>('برآوردهاي پايه'!$D57)*('سرمایه ثابت'!$F$12*میلیون)*$E183</f>
        <v>4500</v>
      </c>
    </row>
    <row r="184" spans="1:9" ht="20.149999999999999" hidden="1" thickBot="1" x14ac:dyDescent="0.7">
      <c r="A184" s="656"/>
      <c r="B184" s="549"/>
      <c r="C184" s="645" t="s">
        <v>17</v>
      </c>
      <c r="D184" s="646"/>
      <c r="E184" s="646"/>
      <c r="F184" s="646"/>
      <c r="G184" s="173">
        <f>SUM(G181:G183)</f>
        <v>17704.259999999998</v>
      </c>
      <c r="H184" s="174">
        <f>SUM(H181:H183)</f>
        <v>12000</v>
      </c>
    </row>
    <row r="185" spans="1:9" ht="20.149999999999999" hidden="1" thickBot="1" x14ac:dyDescent="0.7">
      <c r="A185" s="656"/>
      <c r="B185" s="549"/>
    </row>
    <row r="186" spans="1:9" ht="19.75" hidden="1" x14ac:dyDescent="0.65">
      <c r="A186" s="656"/>
      <c r="B186" s="549"/>
      <c r="C186" s="639" t="s">
        <v>210</v>
      </c>
      <c r="D186" s="641" t="s">
        <v>156</v>
      </c>
      <c r="E186" s="641" t="s">
        <v>1</v>
      </c>
      <c r="F186" s="158" t="s">
        <v>77</v>
      </c>
      <c r="G186" s="157" t="s">
        <v>10</v>
      </c>
      <c r="H186" s="643" t="s">
        <v>61</v>
      </c>
    </row>
    <row r="187" spans="1:9" ht="19.75" hidden="1" x14ac:dyDescent="0.65">
      <c r="A187" s="656"/>
      <c r="B187" s="549"/>
      <c r="C187" s="640"/>
      <c r="D187" s="642"/>
      <c r="E187" s="642"/>
      <c r="F187" s="161" t="s">
        <v>62</v>
      </c>
      <c r="G187" s="160" t="s">
        <v>78</v>
      </c>
      <c r="H187" s="644"/>
    </row>
    <row r="188" spans="1:9" ht="19.75" hidden="1" x14ac:dyDescent="0.65">
      <c r="A188" s="656"/>
      <c r="B188" s="549"/>
      <c r="C188" s="112">
        <v>1</v>
      </c>
      <c r="D188" s="83" t="s">
        <v>365</v>
      </c>
      <c r="E188" s="108">
        <v>1</v>
      </c>
      <c r="F188" s="108">
        <f>G188*هزار/E188</f>
        <v>22130325</v>
      </c>
      <c r="G188" s="108">
        <f>H188*ریال/میلیون</f>
        <v>22130.325000000001</v>
      </c>
      <c r="H188" s="109">
        <f>('برآوردهاي پايه'!$D59)*('سرمایه ثابت'!$F$12*میلیون)*$E188</f>
        <v>15000</v>
      </c>
    </row>
    <row r="189" spans="1:9" ht="19.75" hidden="1" x14ac:dyDescent="0.65">
      <c r="A189" s="656"/>
      <c r="B189" s="549"/>
      <c r="C189" s="112">
        <v>2</v>
      </c>
      <c r="D189" s="83" t="s">
        <v>366</v>
      </c>
      <c r="E189" s="108">
        <v>1</v>
      </c>
      <c r="F189" s="108">
        <f>G189*هزار/E189</f>
        <v>6639097.5</v>
      </c>
      <c r="G189" s="108">
        <f>H189*ریال/میلیون</f>
        <v>6639.0974999999999</v>
      </c>
      <c r="H189" s="109">
        <f>('برآوردهاي پايه'!$D60)*('سرمایه ثابت'!$F$12*میلیون)*$E189</f>
        <v>4500</v>
      </c>
    </row>
    <row r="190" spans="1:9" ht="19.75" hidden="1" x14ac:dyDescent="0.65">
      <c r="A190" s="656"/>
      <c r="B190" s="549"/>
      <c r="C190" s="112">
        <v>3</v>
      </c>
      <c r="D190" s="83" t="s">
        <v>367</v>
      </c>
      <c r="E190" s="108">
        <v>1</v>
      </c>
      <c r="F190" s="108">
        <f>G190*هزار/E190</f>
        <v>4426065</v>
      </c>
      <c r="G190" s="108">
        <f>H190*ریال/میلیون</f>
        <v>4426.0649999999996</v>
      </c>
      <c r="H190" s="109">
        <f>('برآوردهاي پايه'!$D61)*('سرمایه ثابت'!$F$12*میلیون)*$E190</f>
        <v>3000</v>
      </c>
    </row>
    <row r="191" spans="1:9" ht="19.75" hidden="1" x14ac:dyDescent="0.65">
      <c r="A191" s="656"/>
      <c r="B191" s="549"/>
      <c r="C191" s="112">
        <v>4</v>
      </c>
      <c r="D191" s="83" t="s">
        <v>368</v>
      </c>
      <c r="E191" s="108">
        <v>1</v>
      </c>
      <c r="F191" s="108">
        <f>G191*هزار/E191</f>
        <v>11065162.5</v>
      </c>
      <c r="G191" s="108">
        <f>H191*ریال/میلیون</f>
        <v>11065.1625</v>
      </c>
      <c r="H191" s="109">
        <f>('برآوردهاي پايه'!$D62)*('سرمایه ثابت'!$F$12*میلیون)*$E191</f>
        <v>7500</v>
      </c>
    </row>
    <row r="192" spans="1:9" ht="20.149999999999999" hidden="1" thickBot="1" x14ac:dyDescent="0.7">
      <c r="A192" s="656"/>
      <c r="B192" s="549"/>
      <c r="C192" s="645" t="s">
        <v>17</v>
      </c>
      <c r="D192" s="646"/>
      <c r="E192" s="646"/>
      <c r="F192" s="646"/>
      <c r="G192" s="173">
        <f>SUM(G188:G191)</f>
        <v>44260.65</v>
      </c>
      <c r="H192" s="174">
        <f>SUM(H188:H191)</f>
        <v>30000</v>
      </c>
    </row>
    <row r="193" spans="1:8" ht="19.75" hidden="1" x14ac:dyDescent="0.65">
      <c r="C193" s="78"/>
      <c r="D193" s="78"/>
      <c r="E193" s="78"/>
      <c r="F193" s="78"/>
      <c r="G193" s="79"/>
      <c r="H193" s="79"/>
    </row>
    <row r="194" spans="1:8" ht="20.149999999999999" hidden="1" thickBot="1" x14ac:dyDescent="0.7">
      <c r="C194" s="78"/>
      <c r="D194" s="78"/>
      <c r="E194" s="78"/>
      <c r="F194" s="78"/>
      <c r="G194" s="79"/>
      <c r="H194" s="79"/>
    </row>
    <row r="195" spans="1:8" ht="19.75" hidden="1" x14ac:dyDescent="0.65">
      <c r="A195" s="665" t="s">
        <v>5847</v>
      </c>
      <c r="B195" s="567"/>
      <c r="C195" s="639" t="s">
        <v>205</v>
      </c>
      <c r="D195" s="641" t="s">
        <v>125</v>
      </c>
      <c r="E195" s="641" t="s">
        <v>1</v>
      </c>
      <c r="F195" s="158" t="s">
        <v>77</v>
      </c>
      <c r="G195" s="641" t="s">
        <v>121</v>
      </c>
      <c r="H195" s="660" t="s">
        <v>114</v>
      </c>
    </row>
    <row r="196" spans="1:8" ht="19.75" hidden="1" x14ac:dyDescent="0.65">
      <c r="A196" s="666"/>
      <c r="B196" s="568"/>
      <c r="C196" s="640"/>
      <c r="D196" s="642"/>
      <c r="E196" s="642"/>
      <c r="F196" s="161" t="s">
        <v>62</v>
      </c>
      <c r="G196" s="642"/>
      <c r="H196" s="661"/>
    </row>
    <row r="197" spans="1:8" ht="19.75" hidden="1" x14ac:dyDescent="0.65">
      <c r="A197" s="666"/>
      <c r="B197" s="568"/>
      <c r="C197" s="112">
        <v>1</v>
      </c>
      <c r="D197" s="297" t="s">
        <v>5831</v>
      </c>
      <c r="E197" s="108">
        <v>1</v>
      </c>
      <c r="F197" s="108">
        <f>G197*هزار/E197</f>
        <v>0</v>
      </c>
      <c r="G197" s="108">
        <f>H197*ریال/میلیون</f>
        <v>0</v>
      </c>
      <c r="H197" s="109">
        <f>IF('انتخاب سناریو و وضعيت بازار'!$D$16=1,('برآوردهاي پايه'!$D$117)*('برآوردهاي پايه'!$D$68*میلیون)*$E197*دلار,0)</f>
        <v>0</v>
      </c>
    </row>
    <row r="198" spans="1:8" ht="19.75" hidden="1" x14ac:dyDescent="0.65">
      <c r="A198" s="666"/>
      <c r="B198" s="568"/>
      <c r="C198" s="112">
        <v>2</v>
      </c>
      <c r="D198" s="297" t="s">
        <v>5832</v>
      </c>
      <c r="E198" s="108">
        <v>1</v>
      </c>
      <c r="F198" s="108">
        <f>G198*هزار/E198</f>
        <v>0</v>
      </c>
      <c r="G198" s="108">
        <f>H198*ریال/میلیون</f>
        <v>0</v>
      </c>
      <c r="H198" s="109">
        <f>IF('انتخاب سناریو و وضعيت بازار'!$D$16=1,('برآوردهاي پايه'!$D$118)*('برآوردهاي پايه'!$D$70*میلیون)*$E198*دلار,0)</f>
        <v>0</v>
      </c>
    </row>
    <row r="199" spans="1:8" ht="20.149999999999999" hidden="1" thickBot="1" x14ac:dyDescent="0.7">
      <c r="A199" s="667"/>
      <c r="B199" s="569"/>
      <c r="C199" s="645" t="s">
        <v>17</v>
      </c>
      <c r="D199" s="646"/>
      <c r="E199" s="646"/>
      <c r="F199" s="646"/>
      <c r="G199" s="173">
        <f>SUM(G197:G198)</f>
        <v>0</v>
      </c>
      <c r="H199" s="174">
        <f>SUM(H197:H198)</f>
        <v>0</v>
      </c>
    </row>
    <row r="200" spans="1:8" ht="19.75" hidden="1" x14ac:dyDescent="0.65">
      <c r="C200" s="78"/>
      <c r="D200" s="78"/>
      <c r="E200" s="78"/>
      <c r="F200" s="78"/>
      <c r="G200" s="79"/>
      <c r="H200" s="79"/>
    </row>
    <row r="201" spans="1:8" ht="20.149999999999999" hidden="1" thickBot="1" x14ac:dyDescent="0.7">
      <c r="C201" s="78"/>
      <c r="D201" s="78"/>
      <c r="E201" s="78"/>
      <c r="F201" s="78"/>
      <c r="G201" s="79"/>
      <c r="H201" s="79"/>
    </row>
    <row r="202" spans="1:8" ht="19.75" hidden="1" x14ac:dyDescent="0.65">
      <c r="A202" s="655" t="s">
        <v>193</v>
      </c>
      <c r="B202" s="548"/>
      <c r="C202" s="639" t="s">
        <v>204</v>
      </c>
      <c r="D202" s="641" t="s">
        <v>68</v>
      </c>
      <c r="E202" s="641" t="s">
        <v>1</v>
      </c>
      <c r="F202" s="158" t="s">
        <v>77</v>
      </c>
      <c r="G202" s="641" t="s">
        <v>121</v>
      </c>
      <c r="H202" s="660" t="s">
        <v>114</v>
      </c>
    </row>
    <row r="203" spans="1:8" ht="19.75" hidden="1" x14ac:dyDescent="0.65">
      <c r="A203" s="656"/>
      <c r="B203" s="549"/>
      <c r="C203" s="640"/>
      <c r="D203" s="642"/>
      <c r="E203" s="642"/>
      <c r="F203" s="161" t="s">
        <v>62</v>
      </c>
      <c r="G203" s="642"/>
      <c r="H203" s="661"/>
    </row>
    <row r="204" spans="1:8" ht="19.75" hidden="1" x14ac:dyDescent="0.65">
      <c r="A204" s="656"/>
      <c r="B204" s="549"/>
      <c r="C204" s="112">
        <v>1</v>
      </c>
      <c r="D204" s="297" t="s">
        <v>379</v>
      </c>
      <c r="E204" s="108">
        <v>1</v>
      </c>
      <c r="F204" s="108">
        <f>G204*هزار/E204</f>
        <v>2005007.4450000001</v>
      </c>
      <c r="G204" s="108">
        <f>H204*ریال/میلیون</f>
        <v>2005.007445</v>
      </c>
      <c r="H204" s="109">
        <f>('برآوردهاي پايه'!$D76)*('سرمایه ثابت'!$F$14*میلیون)*$E204</f>
        <v>1359</v>
      </c>
    </row>
    <row r="205" spans="1:8" ht="19.75" hidden="1" x14ac:dyDescent="0.65">
      <c r="A205" s="656"/>
      <c r="B205" s="549"/>
      <c r="C205" s="112">
        <v>2</v>
      </c>
      <c r="D205" s="297" t="s">
        <v>380</v>
      </c>
      <c r="E205" s="108">
        <v>1</v>
      </c>
      <c r="F205" s="108">
        <f>G205*هزار/E205</f>
        <v>2005007.4450000001</v>
      </c>
      <c r="G205" s="108">
        <f>H205*ریال/میلیون</f>
        <v>2005.007445</v>
      </c>
      <c r="H205" s="109">
        <f>('برآوردهاي پايه'!$D77)*('سرمایه ثابت'!$F$14*میلیون)*$E205</f>
        <v>1359</v>
      </c>
    </row>
    <row r="206" spans="1:8" ht="20.149999999999999" hidden="1" thickBot="1" x14ac:dyDescent="0.7">
      <c r="A206" s="656"/>
      <c r="B206" s="549"/>
      <c r="C206" s="645" t="s">
        <v>17</v>
      </c>
      <c r="D206" s="646"/>
      <c r="E206" s="646"/>
      <c r="F206" s="646"/>
      <c r="G206" s="173">
        <f>SUM(G204:G205)</f>
        <v>4010.0148899999999</v>
      </c>
      <c r="H206" s="174">
        <f>SUM(H204:H205)</f>
        <v>2718</v>
      </c>
    </row>
    <row r="207" spans="1:8" ht="20.149999999999999" hidden="1" thickBot="1" x14ac:dyDescent="0.7">
      <c r="A207" s="656"/>
      <c r="B207" s="549"/>
    </row>
    <row r="208" spans="1:8" ht="19.75" hidden="1" x14ac:dyDescent="0.65">
      <c r="A208" s="656"/>
      <c r="B208" s="549"/>
      <c r="C208" s="639" t="s">
        <v>211</v>
      </c>
      <c r="D208" s="641" t="s">
        <v>177</v>
      </c>
      <c r="E208" s="641" t="s">
        <v>1</v>
      </c>
      <c r="F208" s="158" t="s">
        <v>77</v>
      </c>
      <c r="G208" s="641" t="s">
        <v>121</v>
      </c>
      <c r="H208" s="660" t="s">
        <v>114</v>
      </c>
    </row>
    <row r="209" spans="1:8" ht="19.75" hidden="1" x14ac:dyDescent="0.65">
      <c r="A209" s="656"/>
      <c r="B209" s="549"/>
      <c r="C209" s="640"/>
      <c r="D209" s="642"/>
      <c r="E209" s="642"/>
      <c r="F209" s="161" t="s">
        <v>62</v>
      </c>
      <c r="G209" s="642"/>
      <c r="H209" s="661"/>
    </row>
    <row r="210" spans="1:8" ht="19.75" hidden="1" x14ac:dyDescent="0.65">
      <c r="A210" s="656"/>
      <c r="B210" s="549"/>
      <c r="C210" s="112">
        <v>1</v>
      </c>
      <c r="D210" s="297" t="s">
        <v>381</v>
      </c>
      <c r="E210" s="108">
        <v>1</v>
      </c>
      <c r="F210" s="108">
        <f>G210*هزار/E210</f>
        <v>1904757072.75</v>
      </c>
      <c r="G210" s="108">
        <f>H210*ریال/میلیون</f>
        <v>1904757.0727500001</v>
      </c>
      <c r="H210" s="109">
        <f>('برآوردهاي پايه'!$D79)*('سرمایه ثابت'!$F$14*میلیون)*$E210</f>
        <v>1291050</v>
      </c>
    </row>
    <row r="211" spans="1:8" ht="19.75" hidden="1" x14ac:dyDescent="0.65">
      <c r="A211" s="656"/>
      <c r="B211" s="549"/>
      <c r="C211" s="112">
        <v>2</v>
      </c>
      <c r="D211" s="297" t="s">
        <v>382</v>
      </c>
      <c r="E211" s="108">
        <v>1</v>
      </c>
      <c r="F211" s="108">
        <f t="shared" ref="F211:F212" si="10">G211*1000/E211</f>
        <v>20050074.449999999</v>
      </c>
      <c r="G211" s="108">
        <f>H211*ریال/میلیون</f>
        <v>20050.07445</v>
      </c>
      <c r="H211" s="109">
        <f>('برآوردهاي پايه'!$D80)*('سرمایه ثابت'!$F$14*میلیون)*$E211</f>
        <v>13590</v>
      </c>
    </row>
    <row r="212" spans="1:8" ht="19.75" hidden="1" x14ac:dyDescent="0.65">
      <c r="A212" s="656"/>
      <c r="B212" s="549"/>
      <c r="C212" s="112">
        <v>3</v>
      </c>
      <c r="D212" s="297" t="s">
        <v>383</v>
      </c>
      <c r="E212" s="108">
        <v>1</v>
      </c>
      <c r="F212" s="108">
        <f t="shared" si="10"/>
        <v>10025037.225</v>
      </c>
      <c r="G212" s="108">
        <f>H212*ریال/میلیون</f>
        <v>10025.037225</v>
      </c>
      <c r="H212" s="109">
        <f>('برآوردهاي پايه'!$D81)*('سرمایه ثابت'!$F$14*میلیون)*$E212</f>
        <v>6795</v>
      </c>
    </row>
    <row r="213" spans="1:8" ht="20.149999999999999" hidden="1" thickBot="1" x14ac:dyDescent="0.7">
      <c r="A213" s="656"/>
      <c r="B213" s="549"/>
      <c r="C213" s="645" t="s">
        <v>17</v>
      </c>
      <c r="D213" s="646"/>
      <c r="E213" s="646"/>
      <c r="F213" s="646"/>
      <c r="G213" s="173">
        <f>SUM(G210:G212)</f>
        <v>1934832.1844250001</v>
      </c>
      <c r="H213" s="174">
        <f>SUM(H210:H212)</f>
        <v>1311435</v>
      </c>
    </row>
    <row r="214" spans="1:8" ht="20.149999999999999" hidden="1" thickBot="1" x14ac:dyDescent="0.7">
      <c r="A214" s="656"/>
      <c r="B214" s="549"/>
    </row>
    <row r="215" spans="1:8" ht="19.75" hidden="1" x14ac:dyDescent="0.65">
      <c r="A215" s="656"/>
      <c r="B215" s="549"/>
      <c r="C215" s="639" t="s">
        <v>473</v>
      </c>
      <c r="D215" s="641" t="s">
        <v>154</v>
      </c>
      <c r="E215" s="641" t="s">
        <v>1</v>
      </c>
      <c r="F215" s="158" t="s">
        <v>77</v>
      </c>
      <c r="G215" s="641" t="s">
        <v>121</v>
      </c>
      <c r="H215" s="660" t="s">
        <v>114</v>
      </c>
    </row>
    <row r="216" spans="1:8" ht="19.75" hidden="1" x14ac:dyDescent="0.65">
      <c r="A216" s="656"/>
      <c r="B216" s="549"/>
      <c r="C216" s="640"/>
      <c r="D216" s="642"/>
      <c r="E216" s="642"/>
      <c r="F216" s="161" t="s">
        <v>62</v>
      </c>
      <c r="G216" s="642"/>
      <c r="H216" s="661"/>
    </row>
    <row r="217" spans="1:8" ht="19.75" hidden="1" x14ac:dyDescent="0.65">
      <c r="A217" s="656"/>
      <c r="B217" s="549"/>
      <c r="C217" s="112">
        <v>1</v>
      </c>
      <c r="D217" s="297" t="s">
        <v>384</v>
      </c>
      <c r="E217" s="108">
        <v>1</v>
      </c>
      <c r="F217" s="108">
        <f>G217*هزار/E217</f>
        <v>10025037.225</v>
      </c>
      <c r="G217" s="108">
        <f>H217*ریال/میلیون</f>
        <v>10025.037225</v>
      </c>
      <c r="H217" s="109">
        <f>('برآوردهاي پايه'!$D83)*('سرمایه ثابت'!$F$14*میلیون)*$E217</f>
        <v>6795</v>
      </c>
    </row>
    <row r="218" spans="1:8" ht="19.75" hidden="1" x14ac:dyDescent="0.65">
      <c r="A218" s="656"/>
      <c r="B218" s="549"/>
      <c r="C218" s="112">
        <v>2</v>
      </c>
      <c r="D218" s="297" t="s">
        <v>385</v>
      </c>
      <c r="E218" s="108">
        <v>1</v>
      </c>
      <c r="F218" s="108">
        <f>G218*هزار/E218</f>
        <v>10025037.225</v>
      </c>
      <c r="G218" s="108">
        <f>H218*ریال/میلیون</f>
        <v>10025.037225</v>
      </c>
      <c r="H218" s="109">
        <f>('برآوردهاي پايه'!$D84)*('سرمایه ثابت'!$F$14*میلیون)*$E218</f>
        <v>6795</v>
      </c>
    </row>
    <row r="219" spans="1:8" ht="19.75" hidden="1" x14ac:dyDescent="0.65">
      <c r="A219" s="656"/>
      <c r="B219" s="549"/>
      <c r="C219" s="112">
        <v>3</v>
      </c>
      <c r="D219" s="297" t="s">
        <v>386</v>
      </c>
      <c r="E219" s="108">
        <v>1</v>
      </c>
      <c r="F219" s="108">
        <f>G219*هزار/E219</f>
        <v>6015022.335</v>
      </c>
      <c r="G219" s="108">
        <f>H219*ریال/میلیون</f>
        <v>6015.0223349999997</v>
      </c>
      <c r="H219" s="109">
        <f>('برآوردهاي پايه'!$D85)*('سرمایه ثابت'!$F$14*میلیون)*$E219</f>
        <v>4077</v>
      </c>
    </row>
    <row r="220" spans="1:8" ht="19.75" hidden="1" x14ac:dyDescent="0.65">
      <c r="A220" s="656"/>
      <c r="B220" s="549"/>
      <c r="C220" s="112">
        <v>4</v>
      </c>
      <c r="D220" s="297" t="s">
        <v>387</v>
      </c>
      <c r="E220" s="108">
        <v>1</v>
      </c>
      <c r="F220" s="108">
        <f>G220*هزار/E220</f>
        <v>30075111.675000001</v>
      </c>
      <c r="G220" s="108">
        <f>H220*ریال/میلیون</f>
        <v>30075.111675</v>
      </c>
      <c r="H220" s="109">
        <f>('برآوردهاي پايه'!$D86)*('سرمایه ثابت'!$F$14*میلیون)*$E220</f>
        <v>20385</v>
      </c>
    </row>
    <row r="221" spans="1:8" ht="20.149999999999999" hidden="1" thickBot="1" x14ac:dyDescent="0.7">
      <c r="A221" s="656"/>
      <c r="B221" s="549"/>
      <c r="C221" s="645" t="s">
        <v>17</v>
      </c>
      <c r="D221" s="646"/>
      <c r="E221" s="646"/>
      <c r="F221" s="646"/>
      <c r="G221" s="173">
        <f>SUM(G217:G220)</f>
        <v>56140.208460000002</v>
      </c>
      <c r="H221" s="174">
        <f>SUM(H217:H220)</f>
        <v>38052</v>
      </c>
    </row>
    <row r="222" spans="1:8" ht="20.149999999999999" hidden="1" thickBot="1" x14ac:dyDescent="0.7">
      <c r="A222" s="656"/>
      <c r="B222" s="549"/>
    </row>
    <row r="223" spans="1:8" ht="19.75" hidden="1" x14ac:dyDescent="0.65">
      <c r="A223" s="656"/>
      <c r="B223" s="549"/>
      <c r="C223" s="639" t="s">
        <v>5844</v>
      </c>
      <c r="D223" s="641" t="s">
        <v>155</v>
      </c>
      <c r="E223" s="641" t="s">
        <v>1</v>
      </c>
      <c r="F223" s="158" t="s">
        <v>77</v>
      </c>
      <c r="G223" s="641" t="s">
        <v>121</v>
      </c>
      <c r="H223" s="660" t="s">
        <v>114</v>
      </c>
    </row>
    <row r="224" spans="1:8" ht="19.75" hidden="1" x14ac:dyDescent="0.65">
      <c r="A224" s="656"/>
      <c r="B224" s="549"/>
      <c r="C224" s="640"/>
      <c r="D224" s="642"/>
      <c r="E224" s="642"/>
      <c r="F224" s="161" t="s">
        <v>62</v>
      </c>
      <c r="G224" s="642"/>
      <c r="H224" s="661"/>
    </row>
    <row r="225" spans="1:8" ht="19.75" hidden="1" x14ac:dyDescent="0.65">
      <c r="A225" s="656"/>
      <c r="B225" s="549"/>
      <c r="C225" s="112"/>
      <c r="D225" s="297" t="s">
        <v>388</v>
      </c>
      <c r="E225" s="108">
        <v>1</v>
      </c>
      <c r="F225" s="108">
        <f>G225*هزار/E225</f>
        <v>4010014.89</v>
      </c>
      <c r="G225" s="108">
        <f>H225*ریال/میلیون</f>
        <v>4010.0148899999999</v>
      </c>
      <c r="H225" s="109">
        <f>('برآوردهاي پايه'!$D88)*('سرمایه ثابت'!$F$14*میلیون)*$E225</f>
        <v>2718</v>
      </c>
    </row>
    <row r="226" spans="1:8" ht="19.75" hidden="1" x14ac:dyDescent="0.65">
      <c r="A226" s="656"/>
      <c r="B226" s="549"/>
      <c r="C226" s="112"/>
      <c r="D226" s="297" t="s">
        <v>389</v>
      </c>
      <c r="E226" s="108">
        <v>1</v>
      </c>
      <c r="F226" s="108">
        <f>G226*هزار/E226</f>
        <v>2005007.4450000001</v>
      </c>
      <c r="G226" s="108">
        <f>H226*ریال/میلیون</f>
        <v>2005.007445</v>
      </c>
      <c r="H226" s="109">
        <f>('برآوردهاي پايه'!$D89)*('سرمایه ثابت'!$F$14*میلیون)*$E226</f>
        <v>1359</v>
      </c>
    </row>
    <row r="227" spans="1:8" ht="20.149999999999999" hidden="1" thickBot="1" x14ac:dyDescent="0.7">
      <c r="A227" s="656"/>
      <c r="B227" s="549"/>
      <c r="C227" s="645" t="s">
        <v>17</v>
      </c>
      <c r="D227" s="646"/>
      <c r="E227" s="646"/>
      <c r="F227" s="646"/>
      <c r="G227" s="173">
        <f>SUM(G225:G226)</f>
        <v>6015.0223349999997</v>
      </c>
      <c r="H227" s="174">
        <f>SUM(H225:H226)</f>
        <v>4077</v>
      </c>
    </row>
    <row r="228" spans="1:8" ht="20.149999999999999" hidden="1" thickBot="1" x14ac:dyDescent="0.7">
      <c r="A228" s="656"/>
      <c r="B228" s="549"/>
    </row>
    <row r="229" spans="1:8" ht="19.75" hidden="1" x14ac:dyDescent="0.65">
      <c r="A229" s="656"/>
      <c r="B229" s="549"/>
      <c r="C229" s="639" t="s">
        <v>5845</v>
      </c>
      <c r="D229" s="641" t="s">
        <v>156</v>
      </c>
      <c r="E229" s="641" t="s">
        <v>1</v>
      </c>
      <c r="F229" s="158" t="s">
        <v>77</v>
      </c>
      <c r="G229" s="157" t="s">
        <v>10</v>
      </c>
      <c r="H229" s="643" t="s">
        <v>61</v>
      </c>
    </row>
    <row r="230" spans="1:8" ht="19.75" hidden="1" x14ac:dyDescent="0.65">
      <c r="A230" s="656"/>
      <c r="B230" s="549"/>
      <c r="C230" s="640"/>
      <c r="D230" s="642"/>
      <c r="E230" s="642"/>
      <c r="F230" s="161" t="s">
        <v>62</v>
      </c>
      <c r="G230" s="160" t="s">
        <v>78</v>
      </c>
      <c r="H230" s="644"/>
    </row>
    <row r="231" spans="1:8" ht="19.75" hidden="1" x14ac:dyDescent="0.65">
      <c r="A231" s="656"/>
      <c r="B231" s="549"/>
      <c r="C231" s="112"/>
      <c r="D231" s="83" t="s">
        <v>390</v>
      </c>
      <c r="E231" s="108">
        <v>1</v>
      </c>
      <c r="F231" s="108">
        <f>G231*هزار/E231</f>
        <v>2005007.4450000001</v>
      </c>
      <c r="G231" s="108">
        <f>H231*ریال/میلیون</f>
        <v>2005.007445</v>
      </c>
      <c r="H231" s="109">
        <f>('برآوردهاي پايه'!$D91)*('سرمایه ثابت'!$F$14*میلیون)*$E231</f>
        <v>1359</v>
      </c>
    </row>
    <row r="232" spans="1:8" ht="19.75" hidden="1" x14ac:dyDescent="0.65">
      <c r="A232" s="656"/>
      <c r="B232" s="549"/>
      <c r="C232" s="112"/>
      <c r="D232" s="83" t="s">
        <v>368</v>
      </c>
      <c r="E232" s="108">
        <v>1</v>
      </c>
      <c r="F232" s="108">
        <f>G232*هزار/E232</f>
        <v>2005007.4450000001</v>
      </c>
      <c r="G232" s="108">
        <f>H232*ریال/میلیون</f>
        <v>2005.007445</v>
      </c>
      <c r="H232" s="109">
        <f>('برآوردهاي پايه'!$D92)*('سرمایه ثابت'!$F$14*میلیون)*$E232</f>
        <v>1359</v>
      </c>
    </row>
    <row r="233" spans="1:8" ht="20.149999999999999" hidden="1" thickBot="1" x14ac:dyDescent="0.7">
      <c r="A233" s="656"/>
      <c r="B233" s="549"/>
      <c r="C233" s="645" t="s">
        <v>17</v>
      </c>
      <c r="D233" s="646"/>
      <c r="E233" s="646"/>
      <c r="F233" s="646"/>
      <c r="G233" s="173">
        <f>SUM(G231:G232)</f>
        <v>4010.0148899999999</v>
      </c>
      <c r="H233" s="174">
        <f>SUM(H231:H232)</f>
        <v>2718</v>
      </c>
    </row>
    <row r="234" spans="1:8" ht="19.75" hidden="1" x14ac:dyDescent="0.65">
      <c r="A234" s="530"/>
      <c r="B234" s="530"/>
      <c r="C234" s="116"/>
      <c r="D234" s="116"/>
      <c r="E234" s="116"/>
      <c r="F234" s="116"/>
      <c r="G234" s="79"/>
      <c r="H234" s="79"/>
    </row>
    <row r="235" spans="1:8" ht="20.149999999999999" hidden="1" thickBot="1" x14ac:dyDescent="0.7">
      <c r="A235" s="530"/>
      <c r="B235" s="530"/>
      <c r="C235" s="116"/>
      <c r="D235" s="116"/>
      <c r="E235" s="116"/>
      <c r="F235" s="116"/>
      <c r="G235" s="79"/>
      <c r="H235" s="79"/>
    </row>
    <row r="236" spans="1:8" ht="19.75" hidden="1" x14ac:dyDescent="0.65">
      <c r="A236" s="647" t="s">
        <v>5940</v>
      </c>
      <c r="B236" s="548"/>
      <c r="C236" s="639" t="s">
        <v>5846</v>
      </c>
      <c r="D236" s="641" t="s">
        <v>5902</v>
      </c>
      <c r="E236" s="641" t="s">
        <v>1</v>
      </c>
      <c r="F236" s="158" t="s">
        <v>77</v>
      </c>
      <c r="G236" s="157" t="s">
        <v>10</v>
      </c>
      <c r="H236" s="643" t="s">
        <v>61</v>
      </c>
    </row>
    <row r="237" spans="1:8" ht="19.75" hidden="1" x14ac:dyDescent="0.65">
      <c r="A237" s="648"/>
      <c r="B237" s="549"/>
      <c r="C237" s="640"/>
      <c r="D237" s="642"/>
      <c r="E237" s="642"/>
      <c r="F237" s="161" t="s">
        <v>5915</v>
      </c>
      <c r="G237" s="160" t="s">
        <v>78</v>
      </c>
      <c r="H237" s="644"/>
    </row>
    <row r="238" spans="1:8" ht="19.75" hidden="1" x14ac:dyDescent="0.65">
      <c r="A238" s="648"/>
      <c r="B238" s="549"/>
      <c r="C238" s="112">
        <v>1</v>
      </c>
      <c r="D238" s="83" t="s">
        <v>5913</v>
      </c>
      <c r="E238" s="108">
        <v>200</v>
      </c>
      <c r="F238" s="108">
        <f>'برآوردهاي پايه'!$D$125</f>
        <v>750</v>
      </c>
      <c r="G238" s="108">
        <f>E238*F238</f>
        <v>150000</v>
      </c>
      <c r="H238" s="109">
        <f>G238*میلیون*دلار</f>
        <v>101670.44541822138</v>
      </c>
    </row>
    <row r="239" spans="1:8" ht="19.75" hidden="1" x14ac:dyDescent="0.65">
      <c r="A239" s="648"/>
      <c r="B239" s="549"/>
      <c r="C239" s="112"/>
      <c r="D239" s="83"/>
      <c r="E239" s="108"/>
      <c r="F239" s="108"/>
      <c r="G239" s="108"/>
      <c r="H239" s="109"/>
    </row>
    <row r="240" spans="1:8" ht="20.149999999999999" hidden="1" thickBot="1" x14ac:dyDescent="0.7">
      <c r="A240" s="648"/>
      <c r="B240" s="549"/>
      <c r="C240" s="645" t="s">
        <v>17</v>
      </c>
      <c r="D240" s="646"/>
      <c r="E240" s="646"/>
      <c r="F240" s="646"/>
      <c r="G240" s="173">
        <f>SUM(G238:G239)</f>
        <v>150000</v>
      </c>
      <c r="H240" s="174">
        <f>SUM(H238:H239)</f>
        <v>101670.44541822138</v>
      </c>
    </row>
    <row r="241" spans="3:9" ht="19.75" hidden="1" x14ac:dyDescent="0.65">
      <c r="C241" s="116"/>
      <c r="D241" s="116"/>
      <c r="E241" s="116"/>
      <c r="F241" s="116"/>
      <c r="G241" s="79"/>
      <c r="H241" s="79"/>
    </row>
    <row r="242" spans="3:9" ht="15.9" hidden="1" thickBot="1" x14ac:dyDescent="0.7"/>
    <row r="243" spans="3:9" ht="19.75" hidden="1" x14ac:dyDescent="0.65">
      <c r="C243" s="639" t="s">
        <v>5905</v>
      </c>
      <c r="D243" s="641" t="s">
        <v>5850</v>
      </c>
      <c r="E243" s="641" t="s">
        <v>79</v>
      </c>
      <c r="F243" s="158" t="s">
        <v>77</v>
      </c>
      <c r="G243" s="157" t="s">
        <v>115</v>
      </c>
      <c r="H243" s="641" t="s">
        <v>114</v>
      </c>
      <c r="I243" s="660" t="s">
        <v>180</v>
      </c>
    </row>
    <row r="244" spans="3:9" ht="19.75" hidden="1" x14ac:dyDescent="0.65">
      <c r="C244" s="640"/>
      <c r="D244" s="642"/>
      <c r="E244" s="642"/>
      <c r="F244" s="161" t="s">
        <v>62</v>
      </c>
      <c r="G244" s="160" t="s">
        <v>78</v>
      </c>
      <c r="H244" s="642"/>
      <c r="I244" s="661"/>
    </row>
    <row r="245" spans="3:9" ht="18.899999999999999" hidden="1" thickBot="1" x14ac:dyDescent="0.7">
      <c r="C245" s="294"/>
      <c r="D245" s="295" t="s">
        <v>178</v>
      </c>
      <c r="E245" s="296">
        <v>50000</v>
      </c>
      <c r="F245" s="296">
        <v>0</v>
      </c>
      <c r="G245" s="296">
        <f t="shared" ref="G245" si="11">E245*F245/1000</f>
        <v>0</v>
      </c>
      <c r="H245" s="296">
        <f>G245/0.25</f>
        <v>0</v>
      </c>
      <c r="I245" s="370" t="s">
        <v>471</v>
      </c>
    </row>
    <row r="246" spans="3:9" ht="15.9" hidden="1" thickBot="1" x14ac:dyDescent="0.7">
      <c r="G246" s="37"/>
    </row>
    <row r="247" spans="3:9" ht="19.75" hidden="1" x14ac:dyDescent="0.65">
      <c r="C247" s="639" t="s">
        <v>5906</v>
      </c>
      <c r="D247" s="641" t="s">
        <v>60</v>
      </c>
      <c r="E247" s="641" t="s">
        <v>79</v>
      </c>
      <c r="F247" s="158" t="s">
        <v>77</v>
      </c>
      <c r="G247" s="157" t="s">
        <v>10</v>
      </c>
      <c r="H247" s="663" t="s">
        <v>61</v>
      </c>
      <c r="I247" s="660" t="s">
        <v>180</v>
      </c>
    </row>
    <row r="248" spans="3:9" ht="19.75" hidden="1" x14ac:dyDescent="0.65">
      <c r="C248" s="640"/>
      <c r="D248" s="642"/>
      <c r="E248" s="642"/>
      <c r="F248" s="161" t="s">
        <v>62</v>
      </c>
      <c r="G248" s="160" t="s">
        <v>78</v>
      </c>
      <c r="H248" s="664"/>
      <c r="I248" s="661"/>
    </row>
    <row r="249" spans="3:9" ht="18.45" hidden="1" x14ac:dyDescent="0.65">
      <c r="C249" s="112">
        <v>1</v>
      </c>
      <c r="D249" s="83" t="s">
        <v>183</v>
      </c>
      <c r="E249" s="108">
        <v>0</v>
      </c>
      <c r="F249" s="108">
        <v>400000</v>
      </c>
      <c r="G249" s="108">
        <f>F249*E249/'تبديل واحد و اعداد ثابت'!$D$16</f>
        <v>0</v>
      </c>
      <c r="H249" s="108">
        <f>G249/'داده هاي اقتصاد كلان'!$F$5</f>
        <v>0</v>
      </c>
      <c r="I249" s="662" t="s">
        <v>471</v>
      </c>
    </row>
    <row r="250" spans="3:9" ht="18.45" hidden="1" x14ac:dyDescent="0.65">
      <c r="C250" s="112">
        <v>2</v>
      </c>
      <c r="D250" s="83" t="s">
        <v>72</v>
      </c>
      <c r="E250" s="108">
        <v>0</v>
      </c>
      <c r="F250" s="108">
        <v>200000</v>
      </c>
      <c r="G250" s="108">
        <f t="shared" ref="G250:G256" si="12">E250*F250/1000</f>
        <v>0</v>
      </c>
      <c r="H250" s="108">
        <f>G250/'داده هاي اقتصاد كلان'!$F$5</f>
        <v>0</v>
      </c>
      <c r="I250" s="662"/>
    </row>
    <row r="251" spans="3:9" ht="18.45" hidden="1" x14ac:dyDescent="0.65">
      <c r="C251" s="112">
        <v>3</v>
      </c>
      <c r="D251" s="83" t="s">
        <v>181</v>
      </c>
      <c r="E251" s="108">
        <v>0</v>
      </c>
      <c r="F251" s="108">
        <v>200000</v>
      </c>
      <c r="G251" s="108">
        <f t="shared" si="12"/>
        <v>0</v>
      </c>
      <c r="H251" s="108">
        <f>G251/'داده هاي اقتصاد كلان'!$F$5</f>
        <v>0</v>
      </c>
      <c r="I251" s="662"/>
    </row>
    <row r="252" spans="3:9" ht="18.45" hidden="1" x14ac:dyDescent="0.65">
      <c r="C252" s="112">
        <v>4</v>
      </c>
      <c r="D252" s="83" t="s">
        <v>179</v>
      </c>
      <c r="E252" s="108">
        <v>0</v>
      </c>
      <c r="F252" s="84">
        <v>300000</v>
      </c>
      <c r="G252" s="108">
        <f t="shared" si="12"/>
        <v>0</v>
      </c>
      <c r="H252" s="108">
        <f>G252/'داده هاي اقتصاد كلان'!$F$5</f>
        <v>0</v>
      </c>
      <c r="I252" s="662"/>
    </row>
    <row r="253" spans="3:9" ht="18.45" hidden="1" x14ac:dyDescent="0.65">
      <c r="C253" s="112">
        <v>5</v>
      </c>
      <c r="D253" s="83" t="s">
        <v>73</v>
      </c>
      <c r="E253" s="108">
        <v>0</v>
      </c>
      <c r="F253" s="108">
        <v>10000</v>
      </c>
      <c r="G253" s="108">
        <f t="shared" si="12"/>
        <v>0</v>
      </c>
      <c r="H253" s="108">
        <f>G253/'داده هاي اقتصاد كلان'!$F$5</f>
        <v>0</v>
      </c>
      <c r="I253" s="662"/>
    </row>
    <row r="254" spans="3:9" ht="18.45" hidden="1" x14ac:dyDescent="0.65">
      <c r="C254" s="112">
        <v>6</v>
      </c>
      <c r="D254" s="83" t="s">
        <v>74</v>
      </c>
      <c r="E254" s="108">
        <v>0</v>
      </c>
      <c r="F254" s="108">
        <v>300000</v>
      </c>
      <c r="G254" s="108">
        <f t="shared" si="12"/>
        <v>0</v>
      </c>
      <c r="H254" s="108">
        <f>G254/'داده هاي اقتصاد كلان'!$F$5</f>
        <v>0</v>
      </c>
      <c r="I254" s="662"/>
    </row>
    <row r="255" spans="3:9" ht="18.45" hidden="1" x14ac:dyDescent="0.65">
      <c r="C255" s="112">
        <v>7</v>
      </c>
      <c r="D255" s="83" t="s">
        <v>75</v>
      </c>
      <c r="E255" s="108">
        <v>0</v>
      </c>
      <c r="F255" s="108">
        <v>300000</v>
      </c>
      <c r="G255" s="108">
        <f t="shared" si="12"/>
        <v>0</v>
      </c>
      <c r="H255" s="108">
        <f>G255/'داده هاي اقتصاد كلان'!$F$5</f>
        <v>0</v>
      </c>
      <c r="I255" s="662"/>
    </row>
    <row r="256" spans="3:9" ht="18.45" hidden="1" x14ac:dyDescent="0.65">
      <c r="C256" s="112">
        <v>8</v>
      </c>
      <c r="D256" s="83" t="s">
        <v>76</v>
      </c>
      <c r="E256" s="108">
        <v>0</v>
      </c>
      <c r="F256" s="108">
        <v>100000</v>
      </c>
      <c r="G256" s="108">
        <f t="shared" si="12"/>
        <v>0</v>
      </c>
      <c r="H256" s="108">
        <f>G256/'داده هاي اقتصاد كلان'!$F$5</f>
        <v>0</v>
      </c>
      <c r="I256" s="662"/>
    </row>
    <row r="257" spans="3:9" ht="20.149999999999999" hidden="1" thickBot="1" x14ac:dyDescent="0.7">
      <c r="C257" s="645" t="s">
        <v>17</v>
      </c>
      <c r="D257" s="646"/>
      <c r="E257" s="646"/>
      <c r="F257" s="646"/>
      <c r="G257" s="173">
        <f>SUM(G249:G256)</f>
        <v>0</v>
      </c>
      <c r="H257" s="173">
        <f>SUM(H249:H256)</f>
        <v>0</v>
      </c>
      <c r="I257" s="289"/>
    </row>
    <row r="258" spans="3:9" hidden="1" x14ac:dyDescent="0.65"/>
    <row r="259" spans="3:9" ht="15.9" hidden="1" thickBot="1" x14ac:dyDescent="0.7"/>
    <row r="260" spans="3:9" ht="19.75" hidden="1" x14ac:dyDescent="0.65">
      <c r="C260" s="639" t="s">
        <v>5907</v>
      </c>
      <c r="D260" s="641" t="s">
        <v>5851</v>
      </c>
      <c r="E260" s="641" t="s">
        <v>79</v>
      </c>
      <c r="F260" s="158" t="s">
        <v>77</v>
      </c>
      <c r="G260" s="157" t="s">
        <v>115</v>
      </c>
      <c r="H260" s="641" t="s">
        <v>114</v>
      </c>
      <c r="I260" s="660" t="s">
        <v>180</v>
      </c>
    </row>
    <row r="261" spans="3:9" ht="19.75" hidden="1" x14ac:dyDescent="0.65">
      <c r="C261" s="640"/>
      <c r="D261" s="642"/>
      <c r="E261" s="642"/>
      <c r="F261" s="161" t="s">
        <v>62</v>
      </c>
      <c r="G261" s="160" t="s">
        <v>78</v>
      </c>
      <c r="H261" s="642"/>
      <c r="I261" s="661"/>
    </row>
    <row r="262" spans="3:9" ht="18.899999999999999" hidden="1" thickBot="1" x14ac:dyDescent="0.7">
      <c r="C262" s="294"/>
      <c r="D262" s="295" t="s">
        <v>5853</v>
      </c>
      <c r="E262" s="296">
        <v>100</v>
      </c>
      <c r="F262" s="296">
        <v>100000</v>
      </c>
      <c r="G262" s="296">
        <f t="shared" ref="G262" si="13">E262*F262/1000</f>
        <v>10000</v>
      </c>
      <c r="H262" s="296">
        <f>G262/0.25</f>
        <v>40000</v>
      </c>
      <c r="I262" s="370" t="s">
        <v>5852</v>
      </c>
    </row>
    <row r="263" spans="3:9" hidden="1" x14ac:dyDescent="0.65"/>
    <row r="264" spans="3:9" ht="15.9" hidden="1" thickBot="1" x14ac:dyDescent="0.7"/>
    <row r="265" spans="3:9" ht="19.75" hidden="1" x14ac:dyDescent="0.65">
      <c r="C265" s="639" t="s">
        <v>5910</v>
      </c>
      <c r="D265" s="641" t="s">
        <v>28</v>
      </c>
      <c r="E265" s="641" t="s">
        <v>1</v>
      </c>
      <c r="F265" s="158" t="s">
        <v>77</v>
      </c>
      <c r="G265" s="641" t="s">
        <v>121</v>
      </c>
      <c r="H265" s="660" t="s">
        <v>114</v>
      </c>
    </row>
    <row r="266" spans="3:9" ht="19.75" hidden="1" x14ac:dyDescent="0.65">
      <c r="C266" s="640"/>
      <c r="D266" s="642"/>
      <c r="E266" s="642"/>
      <c r="F266" s="161" t="s">
        <v>62</v>
      </c>
      <c r="G266" s="642"/>
      <c r="H266" s="661"/>
    </row>
    <row r="267" spans="3:9" ht="18.45" hidden="1" x14ac:dyDescent="0.65">
      <c r="C267" s="112"/>
      <c r="D267" s="83" t="s">
        <v>182</v>
      </c>
      <c r="E267" s="108">
        <v>2</v>
      </c>
      <c r="F267" s="84">
        <v>30000000</v>
      </c>
      <c r="G267" s="108">
        <f>E267*F267/'تبديل واحد و اعداد ثابت'!$D$16</f>
        <v>60000</v>
      </c>
      <c r="H267" s="109">
        <f>G267/'داده هاي اقتصاد كلان'!$F$5</f>
        <v>40668.178167288548</v>
      </c>
    </row>
    <row r="268" spans="3:9" ht="18.45" hidden="1" x14ac:dyDescent="0.65">
      <c r="C268" s="290"/>
      <c r="D268" s="291" t="s">
        <v>120</v>
      </c>
      <c r="E268" s="84"/>
      <c r="F268" s="84"/>
      <c r="G268" s="84">
        <f t="shared" ref="G268" si="14">E268*F268/1000</f>
        <v>0</v>
      </c>
      <c r="H268" s="136">
        <f>G268/'داده هاي اقتصاد كلان'!$F$5</f>
        <v>0</v>
      </c>
    </row>
    <row r="269" spans="3:9" ht="20.149999999999999" hidden="1" thickBot="1" x14ac:dyDescent="0.7">
      <c r="C269" s="645" t="s">
        <v>17</v>
      </c>
      <c r="D269" s="646"/>
      <c r="E269" s="646"/>
      <c r="F269" s="646"/>
      <c r="G269" s="173">
        <f>SUM(G267:G268)</f>
        <v>60000</v>
      </c>
      <c r="H269" s="174">
        <f>SUM(H267:H268)</f>
        <v>40668.178167288548</v>
      </c>
    </row>
    <row r="270" spans="3:9" hidden="1" x14ac:dyDescent="0.65"/>
    <row r="271" spans="3:9" ht="15.9" hidden="1" thickBot="1" x14ac:dyDescent="0.7"/>
    <row r="272" spans="3:9" ht="19.75" hidden="1" x14ac:dyDescent="0.65">
      <c r="C272" s="639" t="s">
        <v>5828</v>
      </c>
      <c r="D272" s="641" t="s">
        <v>519</v>
      </c>
      <c r="E272" s="641" t="s">
        <v>1</v>
      </c>
      <c r="F272" s="158" t="s">
        <v>77</v>
      </c>
      <c r="G272" s="157" t="s">
        <v>231</v>
      </c>
      <c r="H272" s="643" t="s">
        <v>61</v>
      </c>
    </row>
    <row r="273" spans="3:9" ht="19.75" hidden="1" x14ac:dyDescent="0.65">
      <c r="C273" s="640"/>
      <c r="D273" s="642"/>
      <c r="E273" s="642"/>
      <c r="F273" s="161" t="s">
        <v>62</v>
      </c>
      <c r="G273" s="160" t="s">
        <v>78</v>
      </c>
      <c r="H273" s="644"/>
    </row>
    <row r="274" spans="3:9" ht="18.45" hidden="1" x14ac:dyDescent="0.65">
      <c r="C274" s="112">
        <v>1</v>
      </c>
      <c r="D274" s="83" t="s">
        <v>185</v>
      </c>
      <c r="E274" s="108">
        <v>15</v>
      </c>
      <c r="F274" s="84">
        <v>100000</v>
      </c>
      <c r="G274" s="108">
        <f>E274*F274/'تبديل واحد و اعداد ثابت'!$D$16</f>
        <v>1500</v>
      </c>
      <c r="H274" s="109">
        <f>G274/'داده هاي اقتصاد كلان'!$F$5</f>
        <v>1016.7044541822138</v>
      </c>
    </row>
    <row r="275" spans="3:9" ht="18.45" hidden="1" x14ac:dyDescent="0.65">
      <c r="C275" s="112">
        <v>2</v>
      </c>
      <c r="D275" s="83" t="s">
        <v>186</v>
      </c>
      <c r="E275" s="108">
        <v>1</v>
      </c>
      <c r="F275" s="84">
        <v>1000000</v>
      </c>
      <c r="G275" s="108">
        <f>E275*F275/'تبديل واحد و اعداد ثابت'!$D$16</f>
        <v>1000</v>
      </c>
      <c r="H275" s="109">
        <f>G275/'داده هاي اقتصاد كلان'!$F$5</f>
        <v>677.80296945480916</v>
      </c>
    </row>
    <row r="276" spans="3:9" ht="18.45" hidden="1" x14ac:dyDescent="0.65">
      <c r="C276" s="112">
        <v>3</v>
      </c>
      <c r="D276" s="83" t="s">
        <v>184</v>
      </c>
      <c r="E276" s="108">
        <v>20</v>
      </c>
      <c r="F276" s="84">
        <v>800000</v>
      </c>
      <c r="G276" s="108">
        <f>E276*F276/'تبديل واحد و اعداد ثابت'!$D$16</f>
        <v>16000</v>
      </c>
      <c r="H276" s="109">
        <f>G276/'داده هاي اقتصاد كلان'!$F$5</f>
        <v>10844.847511276947</v>
      </c>
    </row>
    <row r="277" spans="3:9" ht="18.45" hidden="1" x14ac:dyDescent="0.65">
      <c r="C277" s="112">
        <v>4</v>
      </c>
      <c r="D277" s="83" t="s">
        <v>221</v>
      </c>
      <c r="E277" s="108">
        <v>15</v>
      </c>
      <c r="F277" s="84">
        <v>1000000</v>
      </c>
      <c r="G277" s="108">
        <f>E277*F277/'تبديل واحد و اعداد ثابت'!$D$16</f>
        <v>15000</v>
      </c>
      <c r="H277" s="109">
        <f>G277/'داده هاي اقتصاد كلان'!$F$5</f>
        <v>10167.044541822137</v>
      </c>
    </row>
    <row r="278" spans="3:9" ht="18.45" hidden="1" x14ac:dyDescent="0.65">
      <c r="C278" s="112">
        <v>5</v>
      </c>
      <c r="D278" s="83" t="s">
        <v>187</v>
      </c>
      <c r="E278" s="108">
        <v>25</v>
      </c>
      <c r="F278" s="84">
        <v>200000</v>
      </c>
      <c r="G278" s="108">
        <f>E278*F278/'تبديل واحد و اعداد ثابت'!$D$16</f>
        <v>5000</v>
      </c>
      <c r="H278" s="109">
        <f>G278/'داده هاي اقتصاد كلان'!$F$5</f>
        <v>3389.0148472740461</v>
      </c>
    </row>
    <row r="279" spans="3:9" ht="18.45" hidden="1" x14ac:dyDescent="0.65">
      <c r="C279" s="112">
        <v>6</v>
      </c>
      <c r="D279" s="83" t="s">
        <v>80</v>
      </c>
      <c r="E279" s="108">
        <v>1</v>
      </c>
      <c r="F279" s="84">
        <v>10000000</v>
      </c>
      <c r="G279" s="108">
        <f>E279*F279/'تبديل واحد و اعداد ثابت'!$D$16</f>
        <v>10000</v>
      </c>
      <c r="H279" s="109">
        <f>G279/'داده هاي اقتصاد كلان'!$F$5</f>
        <v>6778.0296945480923</v>
      </c>
    </row>
    <row r="280" spans="3:9" ht="18.45" hidden="1" x14ac:dyDescent="0.65">
      <c r="C280" s="124">
        <v>7</v>
      </c>
      <c r="D280" s="371" t="s">
        <v>521</v>
      </c>
      <c r="E280" s="148">
        <v>25</v>
      </c>
      <c r="F280" s="84">
        <v>1000000</v>
      </c>
      <c r="G280" s="108">
        <f>E280*F280/'تبديل واحد و اعداد ثابت'!$D$16</f>
        <v>25000</v>
      </c>
      <c r="H280" s="109">
        <f>G280/'داده هاي اقتصاد كلان'!$F$5</f>
        <v>16945.07423637023</v>
      </c>
    </row>
    <row r="281" spans="3:9" ht="20.149999999999999" hidden="1" thickBot="1" x14ac:dyDescent="0.7">
      <c r="C281" s="645" t="s">
        <v>17</v>
      </c>
      <c r="D281" s="646"/>
      <c r="E281" s="646"/>
      <c r="F281" s="646"/>
      <c r="G281" s="173">
        <f>SUM(G274:G279)</f>
        <v>48500</v>
      </c>
      <c r="H281" s="174">
        <f>SUM(H274:H280)</f>
        <v>49818.51825492848</v>
      </c>
    </row>
    <row r="282" spans="3:9" ht="19.75" hidden="1" x14ac:dyDescent="0.65">
      <c r="C282" s="116"/>
      <c r="D282" s="116"/>
      <c r="E282" s="116"/>
      <c r="F282" s="116"/>
      <c r="G282" s="79"/>
      <c r="H282" s="79"/>
    </row>
    <row r="283" spans="3:9" ht="15.9" hidden="1" thickBot="1" x14ac:dyDescent="0.7"/>
    <row r="284" spans="3:9" ht="19.75" hidden="1" x14ac:dyDescent="0.65">
      <c r="C284" s="639" t="s">
        <v>5829</v>
      </c>
      <c r="D284" s="641" t="s">
        <v>520</v>
      </c>
      <c r="E284" s="641" t="s">
        <v>1</v>
      </c>
      <c r="F284" s="158" t="s">
        <v>77</v>
      </c>
      <c r="G284" s="157" t="s">
        <v>231</v>
      </c>
      <c r="H284" s="641" t="s">
        <v>61</v>
      </c>
      <c r="I284" s="660" t="s">
        <v>128</v>
      </c>
    </row>
    <row r="285" spans="3:9" ht="19.75" hidden="1" x14ac:dyDescent="0.65">
      <c r="C285" s="640"/>
      <c r="D285" s="642"/>
      <c r="E285" s="642"/>
      <c r="F285" s="161" t="s">
        <v>62</v>
      </c>
      <c r="G285" s="160" t="s">
        <v>78</v>
      </c>
      <c r="H285" s="642"/>
      <c r="I285" s="661"/>
    </row>
    <row r="286" spans="3:9" ht="18.45" hidden="1" x14ac:dyDescent="0.65">
      <c r="C286" s="112">
        <v>1</v>
      </c>
      <c r="D286" s="83" t="s">
        <v>185</v>
      </c>
      <c r="E286" s="108">
        <v>20</v>
      </c>
      <c r="F286" s="84">
        <v>100000</v>
      </c>
      <c r="G286" s="108">
        <f>E286*F286/'تبديل واحد و اعداد ثابت'!$D$16</f>
        <v>2000</v>
      </c>
      <c r="H286" s="108">
        <f>G286/'داده هاي اقتصاد كلان'!$F$5</f>
        <v>1355.6059389096183</v>
      </c>
      <c r="I286" s="382"/>
    </row>
    <row r="287" spans="3:9" ht="18.45" hidden="1" x14ac:dyDescent="0.65">
      <c r="C287" s="112">
        <v>2</v>
      </c>
      <c r="D287" s="83" t="s">
        <v>186</v>
      </c>
      <c r="E287" s="108">
        <v>1</v>
      </c>
      <c r="F287" s="84">
        <v>1000000</v>
      </c>
      <c r="G287" s="108">
        <f>E287*F287/'تبديل واحد و اعداد ثابت'!$D$16</f>
        <v>1000</v>
      </c>
      <c r="H287" s="108">
        <f>G287/'داده هاي اقتصاد كلان'!$F$5</f>
        <v>677.80296945480916</v>
      </c>
      <c r="I287" s="382"/>
    </row>
    <row r="288" spans="3:9" ht="18.45" hidden="1" x14ac:dyDescent="0.65">
      <c r="C288" s="112">
        <v>3</v>
      </c>
      <c r="D288" s="83" t="s">
        <v>184</v>
      </c>
      <c r="E288" s="108">
        <v>25</v>
      </c>
      <c r="F288" s="84">
        <v>800000</v>
      </c>
      <c r="G288" s="108">
        <f>E288*F288/'تبديل واحد و اعداد ثابت'!$D$16</f>
        <v>20000</v>
      </c>
      <c r="H288" s="108">
        <f>G288/'داده هاي اقتصاد كلان'!$F$5</f>
        <v>13556.059389096185</v>
      </c>
      <c r="I288" s="382"/>
    </row>
    <row r="289" spans="3:9" ht="18.45" hidden="1" x14ac:dyDescent="0.65">
      <c r="C289" s="112">
        <v>4</v>
      </c>
      <c r="D289" s="83" t="s">
        <v>221</v>
      </c>
      <c r="E289" s="108">
        <v>25</v>
      </c>
      <c r="F289" s="84">
        <v>1000000</v>
      </c>
      <c r="G289" s="108">
        <f>E289*F289/'تبديل واحد و اعداد ثابت'!$D$16</f>
        <v>25000</v>
      </c>
      <c r="H289" s="108">
        <f>G289/'داده هاي اقتصاد كلان'!$F$5</f>
        <v>16945.07423637023</v>
      </c>
      <c r="I289" s="382"/>
    </row>
    <row r="290" spans="3:9" ht="20.149999999999999" hidden="1" thickBot="1" x14ac:dyDescent="0.7">
      <c r="C290" s="645" t="s">
        <v>539</v>
      </c>
      <c r="D290" s="646"/>
      <c r="E290" s="646"/>
      <c r="F290" s="646"/>
      <c r="G290" s="173">
        <f>SUM(G286:G289)*'داده‌های ورودی'!$D$23</f>
        <v>9081.0810810810799</v>
      </c>
      <c r="H290" s="173">
        <f>SUM(H286:H289)*'داده‌های ورودی'!$D$23</f>
        <v>6155.1837226166454</v>
      </c>
      <c r="I290" s="384" t="s">
        <v>540</v>
      </c>
    </row>
    <row r="291" spans="3:9" hidden="1" x14ac:dyDescent="0.65"/>
    <row r="292" spans="3:9" ht="15.9" hidden="1" thickBot="1" x14ac:dyDescent="0.7"/>
    <row r="293" spans="3:9" ht="19.75" hidden="1" x14ac:dyDescent="0.65">
      <c r="C293" s="639" t="s">
        <v>5908</v>
      </c>
      <c r="D293" s="641" t="s">
        <v>522</v>
      </c>
      <c r="E293" s="641" t="s">
        <v>1</v>
      </c>
      <c r="F293" s="158" t="s">
        <v>77</v>
      </c>
      <c r="G293" s="157" t="s">
        <v>231</v>
      </c>
      <c r="H293" s="643" t="s">
        <v>61</v>
      </c>
    </row>
    <row r="294" spans="3:9" ht="19.75" hidden="1" x14ac:dyDescent="0.65">
      <c r="C294" s="640"/>
      <c r="D294" s="642"/>
      <c r="E294" s="642"/>
      <c r="F294" s="161" t="s">
        <v>62</v>
      </c>
      <c r="G294" s="160" t="s">
        <v>78</v>
      </c>
      <c r="H294" s="644"/>
    </row>
    <row r="295" spans="3:9" ht="18.45" hidden="1" x14ac:dyDescent="0.65">
      <c r="C295" s="112">
        <v>1</v>
      </c>
      <c r="D295" s="83" t="s">
        <v>225</v>
      </c>
      <c r="E295" s="108">
        <v>1</v>
      </c>
      <c r="F295" s="84">
        <v>5000000</v>
      </c>
      <c r="G295" s="108">
        <f>E295*F295/'تبديل واحد و اعداد ثابت'!$D$16</f>
        <v>5000</v>
      </c>
      <c r="H295" s="109">
        <f>G295/'داده هاي اقتصاد كلان'!$F$5</f>
        <v>3389.0148472740461</v>
      </c>
    </row>
    <row r="296" spans="3:9" ht="18.45" hidden="1" x14ac:dyDescent="0.65">
      <c r="C296" s="112">
        <v>2</v>
      </c>
      <c r="D296" s="83" t="s">
        <v>226</v>
      </c>
      <c r="E296" s="108">
        <v>1</v>
      </c>
      <c r="F296" s="84">
        <v>10000000</v>
      </c>
      <c r="G296" s="108">
        <f>E296*F296/'تبديل واحد و اعداد ثابت'!$D$16</f>
        <v>10000</v>
      </c>
      <c r="H296" s="109">
        <f>G296/'داده هاي اقتصاد كلان'!$F$5</f>
        <v>6778.0296945480923</v>
      </c>
    </row>
    <row r="297" spans="3:9" ht="20.149999999999999" hidden="1" thickBot="1" x14ac:dyDescent="0.7">
      <c r="C297" s="645" t="s">
        <v>17</v>
      </c>
      <c r="D297" s="646"/>
      <c r="E297" s="646"/>
      <c r="F297" s="646"/>
      <c r="G297" s="173">
        <f>SUM(G295:G296)</f>
        <v>15000</v>
      </c>
      <c r="H297" s="174">
        <f>SUM(H295:H296)</f>
        <v>10167.044541822139</v>
      </c>
    </row>
    <row r="298" spans="3:9" hidden="1" x14ac:dyDescent="0.65"/>
    <row r="299" spans="3:9" ht="15.9" hidden="1" thickBot="1" x14ac:dyDescent="0.7"/>
    <row r="300" spans="3:9" ht="19.75" hidden="1" x14ac:dyDescent="0.65">
      <c r="C300" s="639" t="s">
        <v>5909</v>
      </c>
      <c r="D300" s="641" t="s">
        <v>523</v>
      </c>
      <c r="E300" s="641" t="s">
        <v>1</v>
      </c>
      <c r="F300" s="158" t="s">
        <v>77</v>
      </c>
      <c r="G300" s="157" t="s">
        <v>231</v>
      </c>
      <c r="H300" s="641" t="s">
        <v>61</v>
      </c>
      <c r="I300" s="660" t="s">
        <v>128</v>
      </c>
    </row>
    <row r="301" spans="3:9" ht="19.75" hidden="1" x14ac:dyDescent="0.65">
      <c r="C301" s="640"/>
      <c r="D301" s="642"/>
      <c r="E301" s="642"/>
      <c r="F301" s="161" t="s">
        <v>62</v>
      </c>
      <c r="G301" s="160" t="s">
        <v>78</v>
      </c>
      <c r="H301" s="642"/>
      <c r="I301" s="661"/>
    </row>
    <row r="302" spans="3:9" ht="18.45" hidden="1" x14ac:dyDescent="0.65">
      <c r="C302" s="112">
        <v>1</v>
      </c>
      <c r="D302" s="83" t="s">
        <v>225</v>
      </c>
      <c r="E302" s="108">
        <v>1</v>
      </c>
      <c r="F302" s="84">
        <v>5000000</v>
      </c>
      <c r="G302" s="108">
        <f>E302*F302/'تبديل واحد و اعداد ثابت'!$D$16</f>
        <v>5000</v>
      </c>
      <c r="H302" s="108">
        <f>G302/'داده هاي اقتصاد كلان'!$F$5</f>
        <v>3389.0148472740461</v>
      </c>
      <c r="I302" s="381"/>
    </row>
    <row r="303" spans="3:9" ht="18.45" hidden="1" x14ac:dyDescent="0.65">
      <c r="C303" s="112">
        <v>2</v>
      </c>
      <c r="D303" s="83" t="s">
        <v>226</v>
      </c>
      <c r="E303" s="108">
        <v>1</v>
      </c>
      <c r="F303" s="84">
        <v>10000000</v>
      </c>
      <c r="G303" s="108">
        <f>E303*F303/'تبديل واحد و اعداد ثابت'!$D$16</f>
        <v>10000</v>
      </c>
      <c r="H303" s="108">
        <f>G303/'داده هاي اقتصاد كلان'!$F$5</f>
        <v>6778.0296945480923</v>
      </c>
      <c r="I303" s="381"/>
    </row>
    <row r="304" spans="3:9" ht="18.45" hidden="1" x14ac:dyDescent="0.65">
      <c r="C304" s="112">
        <v>3</v>
      </c>
      <c r="D304" s="108" t="s">
        <v>227</v>
      </c>
      <c r="E304" s="108">
        <v>1</v>
      </c>
      <c r="F304" s="84">
        <v>2820000</v>
      </c>
      <c r="G304" s="108">
        <f>E304*F304/'تبديل واحد و اعداد ثابت'!$D$16</f>
        <v>2820</v>
      </c>
      <c r="H304" s="108">
        <f>G304/'داده هاي اقتصاد كلان'!$F$5</f>
        <v>1911.4043738625619</v>
      </c>
      <c r="I304" s="288" t="s">
        <v>537</v>
      </c>
    </row>
    <row r="305" spans="3:9" ht="18.45" hidden="1" x14ac:dyDescent="0.65">
      <c r="C305" s="112">
        <v>4</v>
      </c>
      <c r="D305" s="108" t="s">
        <v>535</v>
      </c>
      <c r="E305" s="108">
        <v>1</v>
      </c>
      <c r="F305" s="84">
        <v>57000000</v>
      </c>
      <c r="G305" s="108">
        <f>E305*F305/'تبديل واحد و اعداد ثابت'!$D$16</f>
        <v>57000</v>
      </c>
      <c r="H305" s="108">
        <f>G305/'داده هاي اقتصاد كلان'!$F$5</f>
        <v>38634.769258924127</v>
      </c>
      <c r="I305" s="288" t="s">
        <v>538</v>
      </c>
    </row>
    <row r="306" spans="3:9" ht="20.149999999999999" hidden="1" thickBot="1" x14ac:dyDescent="0.7">
      <c r="C306" s="645" t="s">
        <v>539</v>
      </c>
      <c r="D306" s="646"/>
      <c r="E306" s="646"/>
      <c r="F306" s="646"/>
      <c r="G306" s="173">
        <f>SUM(G302:G303)*'داده‌های ورودی'!$D$23</f>
        <v>2837.8378378378375</v>
      </c>
      <c r="H306" s="173">
        <f>SUM(H302:H305)*'داده‌های ورودی'!$D$23</f>
        <v>9594.3926276286966</v>
      </c>
      <c r="I306" s="384" t="s">
        <v>540</v>
      </c>
    </row>
    <row r="307" spans="3:9" hidden="1" x14ac:dyDescent="0.65"/>
    <row r="308" spans="3:9" ht="15.9" hidden="1" thickBot="1" x14ac:dyDescent="0.7"/>
    <row r="309" spans="3:9" ht="19.75" hidden="1" x14ac:dyDescent="0.65">
      <c r="C309" s="639" t="s">
        <v>5911</v>
      </c>
      <c r="D309" s="641" t="s">
        <v>18</v>
      </c>
      <c r="E309" s="641" t="s">
        <v>1</v>
      </c>
      <c r="F309" s="158" t="s">
        <v>77</v>
      </c>
      <c r="G309" s="641" t="s">
        <v>121</v>
      </c>
      <c r="H309" s="660" t="s">
        <v>114</v>
      </c>
      <c r="I309" s="660" t="s">
        <v>128</v>
      </c>
    </row>
    <row r="310" spans="3:9" ht="19.75" hidden="1" x14ac:dyDescent="0.65">
      <c r="C310" s="640"/>
      <c r="D310" s="642"/>
      <c r="E310" s="642"/>
      <c r="F310" s="161" t="s">
        <v>62</v>
      </c>
      <c r="G310" s="642"/>
      <c r="H310" s="661"/>
      <c r="I310" s="661"/>
    </row>
    <row r="311" spans="3:9" ht="18.45" hidden="1" x14ac:dyDescent="0.65">
      <c r="C311" s="112">
        <v>1</v>
      </c>
      <c r="D311" s="83" t="s">
        <v>116</v>
      </c>
      <c r="E311" s="108">
        <v>1</v>
      </c>
      <c r="F311" s="84">
        <f>100000000000/هزار</f>
        <v>100000000</v>
      </c>
      <c r="G311" s="108">
        <f>E311*F311/هزار*'داده‌های ورودی'!$D$23</f>
        <v>18918.918918918916</v>
      </c>
      <c r="H311" s="109">
        <f>G311*میلیون*دلار</f>
        <v>12823.299422118009</v>
      </c>
      <c r="I311" s="288"/>
    </row>
    <row r="312" spans="3:9" ht="20.149999999999999" hidden="1" thickBot="1" x14ac:dyDescent="0.7">
      <c r="C312" s="645" t="s">
        <v>539</v>
      </c>
      <c r="D312" s="646"/>
      <c r="E312" s="646"/>
      <c r="F312" s="646"/>
      <c r="G312" s="173">
        <f>SUM(G311:G311)</f>
        <v>18918.918918918916</v>
      </c>
      <c r="H312" s="174">
        <f>SUM(H311:H311)</f>
        <v>12823.299422118009</v>
      </c>
      <c r="I312" s="384" t="s">
        <v>540</v>
      </c>
    </row>
    <row r="313" spans="3:9" hidden="1" x14ac:dyDescent="0.65"/>
    <row r="314" spans="3:9" hidden="1" x14ac:dyDescent="0.65"/>
  </sheetData>
  <mergeCells count="190">
    <mergeCell ref="C297:F297"/>
    <mergeCell ref="C265:C266"/>
    <mergeCell ref="C284:C285"/>
    <mergeCell ref="D284:D285"/>
    <mergeCell ref="E284:E285"/>
    <mergeCell ref="H284:H285"/>
    <mergeCell ref="C290:F290"/>
    <mergeCell ref="I300:I301"/>
    <mergeCell ref="I284:I285"/>
    <mergeCell ref="H83:H84"/>
    <mergeCell ref="H76:H77"/>
    <mergeCell ref="G76:G77"/>
    <mergeCell ref="G265:G266"/>
    <mergeCell ref="H265:H266"/>
    <mergeCell ref="H105:H106"/>
    <mergeCell ref="C90:F90"/>
    <mergeCell ref="C83:C84"/>
    <mergeCell ref="D83:D84"/>
    <mergeCell ref="E83:E84"/>
    <mergeCell ref="C257:F257"/>
    <mergeCell ref="C76:C77"/>
    <mergeCell ref="C243:C244"/>
    <mergeCell ref="D243:D244"/>
    <mergeCell ref="E243:E244"/>
    <mergeCell ref="D76:D77"/>
    <mergeCell ref="E76:E77"/>
    <mergeCell ref="C81:F81"/>
    <mergeCell ref="C110:C111"/>
    <mergeCell ref="D110:D111"/>
    <mergeCell ref="E110:E111"/>
    <mergeCell ref="G83:G84"/>
    <mergeCell ref="C92:C93"/>
    <mergeCell ref="C149:C150"/>
    <mergeCell ref="D149:D150"/>
    <mergeCell ref="E149:E150"/>
    <mergeCell ref="H154:H155"/>
    <mergeCell ref="D92:D93"/>
    <mergeCell ref="E92:E93"/>
    <mergeCell ref="G92:G93"/>
    <mergeCell ref="E28:G29"/>
    <mergeCell ref="C28:C30"/>
    <mergeCell ref="D28:D30"/>
    <mergeCell ref="C129:F129"/>
    <mergeCell ref="C73:D73"/>
    <mergeCell ref="G105:G106"/>
    <mergeCell ref="C115:C116"/>
    <mergeCell ref="D115:D116"/>
    <mergeCell ref="E115:E116"/>
    <mergeCell ref="G115:G116"/>
    <mergeCell ref="C103:F103"/>
    <mergeCell ref="C108:F108"/>
    <mergeCell ref="C105:C106"/>
    <mergeCell ref="D105:D106"/>
    <mergeCell ref="E105:E106"/>
    <mergeCell ref="C113:F113"/>
    <mergeCell ref="H92:H93"/>
    <mergeCell ref="H131:H132"/>
    <mergeCell ref="C142:F142"/>
    <mergeCell ref="C144:C145"/>
    <mergeCell ref="D144:D145"/>
    <mergeCell ref="E144:E145"/>
    <mergeCell ref="G144:G145"/>
    <mergeCell ref="H144:H145"/>
    <mergeCell ref="H115:H116"/>
    <mergeCell ref="C120:F120"/>
    <mergeCell ref="C122:C123"/>
    <mergeCell ref="D122:D123"/>
    <mergeCell ref="E122:E123"/>
    <mergeCell ref="G122:G123"/>
    <mergeCell ref="H122:H123"/>
    <mergeCell ref="C131:C132"/>
    <mergeCell ref="D131:D132"/>
    <mergeCell ref="E131:E132"/>
    <mergeCell ref="G131:G132"/>
    <mergeCell ref="A195:A199"/>
    <mergeCell ref="C177:F177"/>
    <mergeCell ref="G179:G180"/>
    <mergeCell ref="H179:H180"/>
    <mergeCell ref="C165:F165"/>
    <mergeCell ref="C167:C168"/>
    <mergeCell ref="D167:D168"/>
    <mergeCell ref="E167:E168"/>
    <mergeCell ref="G167:G168"/>
    <mergeCell ref="C157:F157"/>
    <mergeCell ref="C159:C160"/>
    <mergeCell ref="D159:D160"/>
    <mergeCell ref="E159:E160"/>
    <mergeCell ref="G159:G160"/>
    <mergeCell ref="H159:H160"/>
    <mergeCell ref="C152:F152"/>
    <mergeCell ref="C154:C155"/>
    <mergeCell ref="D154:D155"/>
    <mergeCell ref="E154:E155"/>
    <mergeCell ref="G154:G155"/>
    <mergeCell ref="C312:F312"/>
    <mergeCell ref="G208:G209"/>
    <mergeCell ref="H208:H209"/>
    <mergeCell ref="C213:F213"/>
    <mergeCell ref="D229:D230"/>
    <mergeCell ref="E229:E230"/>
    <mergeCell ref="D223:D224"/>
    <mergeCell ref="E223:E224"/>
    <mergeCell ref="G223:G224"/>
    <mergeCell ref="H223:H224"/>
    <mergeCell ref="C227:F227"/>
    <mergeCell ref="D309:D310"/>
    <mergeCell ref="E309:E310"/>
    <mergeCell ref="C306:F306"/>
    <mergeCell ref="H247:H248"/>
    <mergeCell ref="C300:C301"/>
    <mergeCell ref="D300:D301"/>
    <mergeCell ref="E300:E301"/>
    <mergeCell ref="H300:H301"/>
    <mergeCell ref="E265:E266"/>
    <mergeCell ref="C247:C248"/>
    <mergeCell ref="D247:D248"/>
    <mergeCell ref="E247:E248"/>
    <mergeCell ref="C293:C294"/>
    <mergeCell ref="I309:I310"/>
    <mergeCell ref="H229:H230"/>
    <mergeCell ref="H272:H273"/>
    <mergeCell ref="H293:H294"/>
    <mergeCell ref="H243:H244"/>
    <mergeCell ref="H186:H187"/>
    <mergeCell ref="D215:D216"/>
    <mergeCell ref="E215:E216"/>
    <mergeCell ref="G215:G216"/>
    <mergeCell ref="H215:H216"/>
    <mergeCell ref="C221:F221"/>
    <mergeCell ref="H309:H310"/>
    <mergeCell ref="C309:C310"/>
    <mergeCell ref="G309:G310"/>
    <mergeCell ref="I247:I248"/>
    <mergeCell ref="C269:F269"/>
    <mergeCell ref="C272:C273"/>
    <mergeCell ref="D272:D273"/>
    <mergeCell ref="E272:E273"/>
    <mergeCell ref="C281:F281"/>
    <mergeCell ref="D265:D266"/>
    <mergeCell ref="I249:I256"/>
    <mergeCell ref="D293:D294"/>
    <mergeCell ref="E293:E294"/>
    <mergeCell ref="I260:I261"/>
    <mergeCell ref="C195:C196"/>
    <mergeCell ref="D195:D196"/>
    <mergeCell ref="E195:E196"/>
    <mergeCell ref="G195:G196"/>
    <mergeCell ref="H195:H196"/>
    <mergeCell ref="C199:F199"/>
    <mergeCell ref="H149:H150"/>
    <mergeCell ref="I243:I244"/>
    <mergeCell ref="D202:D203"/>
    <mergeCell ref="E202:E203"/>
    <mergeCell ref="G202:G203"/>
    <mergeCell ref="H202:H203"/>
    <mergeCell ref="C206:F206"/>
    <mergeCell ref="H167:H168"/>
    <mergeCell ref="C179:C180"/>
    <mergeCell ref="D179:D180"/>
    <mergeCell ref="E179:E180"/>
    <mergeCell ref="C202:C203"/>
    <mergeCell ref="C208:C209"/>
    <mergeCell ref="C215:C216"/>
    <mergeCell ref="C223:C224"/>
    <mergeCell ref="C229:C230"/>
    <mergeCell ref="C184:F184"/>
    <mergeCell ref="C236:C237"/>
    <mergeCell ref="D236:D237"/>
    <mergeCell ref="E236:E237"/>
    <mergeCell ref="H236:H237"/>
    <mergeCell ref="C240:F240"/>
    <mergeCell ref="A236:A240"/>
    <mergeCell ref="D3:F3"/>
    <mergeCell ref="D8:F8"/>
    <mergeCell ref="C260:C261"/>
    <mergeCell ref="D260:D261"/>
    <mergeCell ref="E260:E261"/>
    <mergeCell ref="H260:H261"/>
    <mergeCell ref="A76:A113"/>
    <mergeCell ref="A115:A152"/>
    <mergeCell ref="A154:A192"/>
    <mergeCell ref="A202:A233"/>
    <mergeCell ref="C186:C187"/>
    <mergeCell ref="D186:D187"/>
    <mergeCell ref="E186:E187"/>
    <mergeCell ref="C192:F192"/>
    <mergeCell ref="D208:D209"/>
    <mergeCell ref="E208:E209"/>
    <mergeCell ref="C233:F233"/>
    <mergeCell ref="C147:F147"/>
  </mergeCells>
  <phoneticPr fontId="3" type="noConversion"/>
  <pageMargins left="0.25" right="0.25" top="0.75" bottom="0.75" header="0.3" footer="0.3"/>
  <pageSetup orientation="landscape" r:id="rId1"/>
  <ignoredErrors>
    <ignoredError sqref="C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j k K 5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I 5 C u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Q r l c I O p R N b E B A A A c B Q A A E w A c A E Z v c m 1 1 b G F z L 1 N l Y 3 R p b 2 4 x L m 0 g o h g A K K A U A A A A A A A A A A A A A A A A A A A A A A A A A A A A z V L B a h s x E L 0 b / A 9 C u e y C W L w 2 6 a F l D + n a J T 0 0 p K y b H m w T Z O 3 U F t F q i j R K H Y z / v b L X j m t w A y 0 5 Z A + 7 O + 8 h z Z v 3 x o M i j Z Z V 7 T f / 0 O 1 0 O 3 4 p H d T s g l 9 L v 7 x 3 k o A N J U n O C m a A u h 0 W n w q D U x C R 0 j 9 m Q 1 S h A U v J J 2 0 g K 9 F S L H z C y / f T b x 6 c n 4 b 4 n g 7 x l z U o a z 8 9 v T e j F f F U D A T n Y r Q i J + + k C e C z z w u L D k T e v + y n o u 1 6 w c u l t A t g 4 6 e f s N U z l v P Y c e y k 9 T / Q N S W a 0 N g t 6 Z N W o V i v e Y v m X D C K D C N Y 0 U a w A 9 7 / C z 4 4 w T d p t 6 P t O R U v W c a S f v q G b K v f h m / 1 O e M + a l K o 7 Z 3 2 Q R r P F D b 3 K n L 0 e v a d d s i e O 2 T K P 0 Y j J 0 M w u t E E r u A i z t B O 4 4 u B Y C O r s N Z 2 U b y 7 7 P V y w b 4 G J K j o y U B x / M 1 u 0 M L s a P m t w y Z y N b s G W U c 5 R 9 v 3 z B 4 / G M 4 m e / z K m E p J I 5 0 v y I U / r / y H F M / 0 3 0 Y a F w f G u o F D R n W s K d a 7 / G 6 d V s + M D c 0 c 3 A 6 v v l z F R e 7 1 0 v 9 J d q c x P x v i a K X A Z G V w L g b 3 H d 3 D H P E h S d e T G 9 l A w d u T f L a Z 7 L O d v f 4 6 v z T E b 1 B L A Q I t A B Q A A g A I A I 5 C u V x I G a B e p Q A A A P c A A A A S A A A A A A A A A A A A A A A A A A A A A A B D b 2 5 m a W c v U G F j a 2 F n Z S 5 4 b W x Q S w E C L Q A U A A I A C A C O Q r l c D 8 r p q 6 Q A A A D p A A A A E w A A A A A A A A A A A A A A A A D x A A A A W 0 N v b n R l b n R f V H l w Z X N d L n h t b F B L A Q I t A B Q A A g A I A I 5 C u V w g 6 l E 1 s Q E A A B w F A A A T A A A A A A A A A A A A A A A A A O I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h A A A A A A A A 6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Y X N o X 3 J h d G U l M j B E Y X R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V l Z m I w N j I t Z m E 4 Z i 0 0 Z T A 2 L T g 5 Z W E t M j g 4 M D A 2 Z j k y M 2 R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T R U M T I 6 N T c 6 M z I u M j E 2 N z E 5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G F z a F 9 y Y X R l I E R h d G E v Q X V 0 b 1 J l b W 9 2 Z W R D b 2 x 1 b W 5 z M S 5 7 Q 2 9 s d W 1 u M S w w f S Z x d W 9 0 O y w m c X V v d D t T Z W N 0 a W 9 u M S 9 I Y X N o X 3 J h d G U g R G F 0 Y S 9 B d X R v U m V t b 3 Z l Z E N v b H V t b n M x L n t D b 2 x 1 b W 4 y L D F 9 J n F 1 b 3 Q 7 L C Z x d W 9 0 O 1 N l Y 3 R p b 2 4 x L 0 h h c 2 h f c m F 0 Z S B E Y X R h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h h c 2 h f c m F 0 Z S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F z a F 9 y Y X R l J T I w R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0 M z N j N T g 2 L T A 5 O T g t N D R l M C 0 4 M D k y L T Z h N T g 1 N m Y 4 N D k w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z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E 0 V D E z O j A 0 O j Q 0 L j U 4 M z E 4 M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h h c 2 h f c m F 0 Z S B E Y X R h I C g y K S 9 B d X R v U m V t b 3 Z l Z E N v b H V t b n M x L n t D b 2 x 1 b W 4 x L D B 9 J n F 1 b 3 Q 7 L C Z x d W 9 0 O 1 N l Y 3 R p b 2 4 x L 0 h h c 2 h f c m F 0 Z S B E Y X R h I C g y K S 9 B d X R v U m V t b 3 Z l Z E N v b H V t b n M x L n t D b 2 x 1 b W 4 y L D F 9 J n F 1 b 3 Q 7 L C Z x d W 9 0 O 1 N l Y 3 R p b 2 4 x L 0 h h c 2 h f c m F 0 Z S B E Y X R h I C g y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Y X N o X 3 J h d G U l M j B E Y X R h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h c 2 h f c m F 0 Z S U y M E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X R j b 2 l u V m l z d W F s c y U y M G N v b V 9 j a G F y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5 N D U x Y j A 2 L T g z N D g t N G I 0 Z S 0 5 N z k 5 L T R i M T M 3 Z j c 1 Y m U 5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C a X R j b 2 l u V m l z d W F s c 1 9 j b 2 1 f Y 2 h h c n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c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x N V Q x N T o z M T o w M y 4 z M T I 3 M T g 4 W i I g L z 4 8 R W 5 0 c n k g V H l w Z T 0 i R m l s b E N v b H V t b l R 5 c G V z I i B W Y W x 1 Z T 0 i c 0 J 3 V U c i I C 8 + P E V u d H J 5 I F R 5 c G U 9 I k Z p b G x D b 2 x 1 b W 5 O Y W 1 l c y I g V m F s d W U 9 I n N b J n F 1 b 3 Q 7 R G F 0 Z V R p b W U m c X V v d D s s J n F 1 b 3 Q 7 U H J p Y 2 U m c X V v d D s s J n F 1 b 3 Q 7 U 0 1 B I C g y M D A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l 0 Y 2 9 p b l Z p c 3 V h b H M g Y 2 9 t X 2 N o Y X J 0 L 0 F 1 d G 9 S Z W 1 v d m V k Q 2 9 s d W 1 u c z E u e 0 R h d G V U a W 1 l L D B 9 J n F 1 b 3 Q 7 L C Z x d W 9 0 O 1 N l Y 3 R p b 2 4 x L 0 J p d G N v a W 5 W a X N 1 Y W x z I G N v b V 9 j a G F y d C 9 B d X R v U m V t b 3 Z l Z E N v b H V t b n M x L n t Q c m l j Z S w x f S Z x d W 9 0 O y w m c X V v d D t T Z W N 0 a W 9 u M S 9 C a X R j b 2 l u V m l z d W F s c y B j b 2 1 f Y 2 h h c n Q v Q X V 0 b 1 J l b W 9 2 Z W R D b 2 x 1 b W 5 z M S 5 7 U 0 1 B I C g y M D A p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p d G N v a W 5 W a X N 1 Y W x z I G N v b V 9 j a G F y d C 9 B d X R v U m V t b 3 Z l Z E N v b H V t b n M x L n t E Y X R l V G l t Z S w w f S Z x d W 9 0 O y w m c X V v d D t T Z W N 0 a W 9 u M S 9 C a X R j b 2 l u V m l z d W F s c y B j b 2 1 f Y 2 h h c n Q v Q X V 0 b 1 J l b W 9 2 Z W R D b 2 x 1 b W 5 z M S 5 7 U H J p Y 2 U s M X 0 m c X V v d D s s J n F 1 b 3 Q 7 U 2 V j d G l v b j E v Q m l 0 Y 2 9 p b l Z p c 3 V h b H M g Y 2 9 t X 2 N o Y X J 0 L 0 F 1 d G 9 S Z W 1 v d m V k Q 2 9 s d W 1 u c z E u e 1 N N Q S A o M j A w K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0 Y 2 9 p b l Z p c 3 V h b H M l M j B j b 2 1 f Y 2 h h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0 Y 2 9 p b l Z p c 3 V h b H M l M j B j b 2 1 f Y 2 h h c n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Y 2 J k Z T N h N S 0 3 M j M 4 L T R h N z M t O T R m Z C 0 3 Y W Y 1 Z m E 2 N z k 1 N j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U t M j V U M D Q 6 N T A 6 M D g u N z U z M z A x O V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V 8 d L N x 1 8 T 4 T f o K t z z C v d A A A A A A I A A A A A A B B m A A A A A Q A A I A A A A N d i x / d U x W 0 T P n 3 g w 7 s i z 7 N r h S E v L 9 0 C C V 7 + 0 J q V v G P D A A A A A A 6 A A A A A A g A A I A A A A O g o l f W F 5 W u 5 n H M / D m S O 4 i 6 2 a P b b O / 0 T y O g S F b 6 2 w C 7 J U A A A A L 8 t x u Y B G g t w X 7 g Z Y U Z k w O Z G i W k q 6 m W c 0 F z 7 Z + E h H 5 r P a Z m L E z l q d Y I B l B j 8 w Q s d I T 7 8 f v 1 x w R N T R R l K Y 1 3 c 0 P s w 3 8 L 8 a 6 K m P t 8 g R a C a s D q k Q A A A A J x K a c t a o / 9 d P 1 A 8 M i 6 t d V h s g p u S z R i J 9 I R N S 4 P r r H 6 M E / s w 5 P c M T 2 b r P k A J K b P y n e w k Z e 8 p w v X M f i v I p 0 A 8 k I 8 = < / D a t a M a s h u p > 
</file>

<file path=customXml/itemProps1.xml><?xml version="1.0" encoding="utf-8"?>
<ds:datastoreItem xmlns:ds="http://schemas.openxmlformats.org/officeDocument/2006/customXml" ds:itemID="{7A6D3677-086E-4B6E-8D9A-C0E9BFBE8F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7</vt:i4>
      </vt:variant>
    </vt:vector>
  </HeadingPairs>
  <TitlesOfParts>
    <vt:vector size="36" baseType="lpstr">
      <vt:lpstr>داده‌های ورودی</vt:lpstr>
      <vt:lpstr>انتخاب سناریو و وضعيت بازار</vt:lpstr>
      <vt:lpstr>داده هاي اقتصاد كلان</vt:lpstr>
      <vt:lpstr>برآوردهاي پايه</vt:lpstr>
      <vt:lpstr>تحلیل نقطه سر به سر</vt:lpstr>
      <vt:lpstr> جریان خالص نقدی</vt:lpstr>
      <vt:lpstr>صورت سود و زیان</vt:lpstr>
      <vt:lpstr>خلاصه وضعيت پروژه</vt:lpstr>
      <vt:lpstr>سرمایه ثابت</vt:lpstr>
      <vt:lpstr>سرمایه درگردش</vt:lpstr>
      <vt:lpstr>برآورد محصول</vt:lpstr>
      <vt:lpstr>درآمدها</vt:lpstr>
      <vt:lpstr>هزینه‌های تولید</vt:lpstr>
      <vt:lpstr>گاز و يوتيليتي</vt:lpstr>
      <vt:lpstr>مواد مصرفی</vt:lpstr>
      <vt:lpstr>تعميرات</vt:lpstr>
      <vt:lpstr>نیروی انسانی</vt:lpstr>
      <vt:lpstr>بیمه</vt:lpstr>
      <vt:lpstr>حمل و نقل</vt:lpstr>
      <vt:lpstr>زمين و ساختمان</vt:lpstr>
      <vt:lpstr> زيرساخت اداري</vt:lpstr>
      <vt:lpstr>ارزش قراضه</vt:lpstr>
      <vt:lpstr>استهلاك</vt:lpstr>
      <vt:lpstr>تامین مالی</vt:lpstr>
      <vt:lpstr>بازاریابی و فروش</vt:lpstr>
      <vt:lpstr>جريمه ديركرد</vt:lpstr>
      <vt:lpstr>تبديل واحد و اعداد ثابت</vt:lpstr>
      <vt:lpstr>پيش بيني هش ريت</vt:lpstr>
      <vt:lpstr>پیش بینی قیمت</vt:lpstr>
      <vt:lpstr>دلار</vt:lpstr>
      <vt:lpstr>روزانه</vt:lpstr>
      <vt:lpstr>ریال</vt:lpstr>
      <vt:lpstr>سالانه</vt:lpstr>
      <vt:lpstr>ماهیانه</vt:lpstr>
      <vt:lpstr>میلیون</vt:lpstr>
      <vt:lpstr>هزار</vt:lpstr>
    </vt:vector>
  </TitlesOfParts>
  <Company>mkf.co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mkf6</dc:creator>
  <cp:lastModifiedBy>Mohammadsaber Karambeigi</cp:lastModifiedBy>
  <cp:lastPrinted>2026-05-26T13:15:37Z</cp:lastPrinted>
  <dcterms:created xsi:type="dcterms:W3CDTF">2001-12-15T06:09:14Z</dcterms:created>
  <dcterms:modified xsi:type="dcterms:W3CDTF">2026-05-26T13:16:57Z</dcterms:modified>
</cp:coreProperties>
</file>